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drawings/drawing8.xml" ContentType="application/vnd.openxmlformats-officedocument.drawing+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L:\Modern\FieldVisits\"/>
    </mc:Choice>
  </mc:AlternateContent>
  <xr:revisionPtr revIDLastSave="0" documentId="13_ncr:1_{E66C0C5C-A162-4AD4-984E-7C1D5EA15013}" xr6:coauthVersionLast="41" xr6:coauthVersionMax="41" xr10:uidLastSave="{00000000-0000-0000-0000-000000000000}"/>
  <bookViews>
    <workbookView xWindow="-120" yWindow="-120" windowWidth="29040" windowHeight="15840" xr2:uid="{BCD16D27-6FC5-47DD-9B56-9AB5FDFB93E7}"/>
  </bookViews>
  <sheets>
    <sheet name="K17" sheetId="1" r:id="rId1"/>
    <sheet name="K17A" sheetId="2" r:id="rId2"/>
    <sheet name="K17B" sheetId="3" r:id="rId3"/>
    <sheet name="K17C" sheetId="9" r:id="rId4"/>
    <sheet name="FedSampCores10-K17_2014.08.21" sheetId="8" r:id="rId5"/>
    <sheet name="FedSampCores10-K17_2014.06.07" sheetId="7" r:id="rId6"/>
    <sheet name="Probe13-K17A_2014.08.21" sheetId="6" r:id="rId7"/>
    <sheet name="FedSampCores13-K17B_2014.06.07" sheetId="4" r:id="rId8"/>
    <sheet name="FedSampCores13-K17B_2014.08.21" sheetId="5" r:id="rId9"/>
    <sheet name="Probe13-K17C_2014.06.07" sheetId="10" r:id="rId10"/>
    <sheet name="Probe13-K17C_2014.08.21" sheetId="11" r:id="rId1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3" i="11" l="1"/>
  <c r="S29" i="3"/>
  <c r="I1" i="4"/>
  <c r="I3" i="4"/>
  <c r="O11" i="4"/>
  <c r="S29" i="2"/>
  <c r="Q29" i="3"/>
  <c r="S28" i="3"/>
  <c r="I3" i="5"/>
  <c r="I4" i="5"/>
  <c r="E11" i="4"/>
  <c r="E12" i="4"/>
  <c r="E13" i="4"/>
  <c r="I4" i="4"/>
  <c r="I3" i="7"/>
  <c r="I2" i="5"/>
  <c r="I1" i="5"/>
  <c r="Q29" i="2"/>
  <c r="S28" i="9"/>
  <c r="O12" i="7"/>
  <c r="S30" i="1"/>
  <c r="I1" i="7"/>
  <c r="Q18" i="2"/>
  <c r="E35" i="1"/>
  <c r="P30" i="1"/>
  <c r="E12" i="7"/>
  <c r="E13" i="7"/>
  <c r="E14" i="7"/>
  <c r="I4" i="7"/>
  <c r="Q30" i="1"/>
  <c r="U30" i="1"/>
  <c r="C36" i="1"/>
  <c r="I35" i="1"/>
  <c r="G35" i="1"/>
  <c r="I34" i="2"/>
  <c r="G34" i="2"/>
  <c r="E34" i="2"/>
  <c r="C39" i="2"/>
  <c r="C38" i="2"/>
  <c r="E30" i="2"/>
  <c r="N30" i="2"/>
  <c r="V30" i="2"/>
  <c r="C37" i="2"/>
  <c r="P29" i="2"/>
  <c r="U29" i="2"/>
  <c r="T30" i="2"/>
  <c r="C36" i="2"/>
  <c r="C35" i="2"/>
  <c r="E28" i="9"/>
  <c r="I3" i="10"/>
  <c r="G28" i="9"/>
  <c r="L28" i="9"/>
  <c r="W28" i="9"/>
  <c r="P20" i="9"/>
  <c r="Q20" i="9"/>
  <c r="S20" i="9"/>
  <c r="P15" i="9"/>
  <c r="Q15" i="9"/>
  <c r="S15" i="9"/>
  <c r="P18" i="9"/>
  <c r="Q18" i="9"/>
  <c r="S18" i="9"/>
  <c r="T18" i="9"/>
  <c r="I10" i="9"/>
  <c r="P10" i="9"/>
  <c r="Q10" i="9"/>
  <c r="S10" i="9"/>
  <c r="E29" i="9"/>
  <c r="P29" i="9"/>
  <c r="V29" i="9"/>
  <c r="P28" i="9"/>
  <c r="Q28" i="9"/>
  <c r="U28" i="9"/>
  <c r="T29" i="9"/>
  <c r="G29" i="9"/>
  <c r="L29" i="9"/>
  <c r="I1" i="10"/>
  <c r="O12" i="10"/>
  <c r="I2" i="10"/>
  <c r="C38" i="9"/>
  <c r="C37" i="9"/>
  <c r="C36" i="9"/>
  <c r="C35" i="9"/>
  <c r="C34" i="9"/>
  <c r="C33" i="9"/>
  <c r="I32" i="9"/>
  <c r="G32" i="9"/>
  <c r="E32" i="9"/>
  <c r="T20" i="9"/>
  <c r="T15" i="9"/>
  <c r="U20" i="9"/>
  <c r="C20" i="9"/>
  <c r="L20" i="9"/>
  <c r="M20" i="9"/>
  <c r="N20" i="9"/>
  <c r="O20" i="9"/>
  <c r="I19" i="9"/>
  <c r="P19" i="9"/>
  <c r="S19" i="9"/>
  <c r="T19" i="9"/>
  <c r="I14" i="9"/>
  <c r="P14" i="9"/>
  <c r="S14" i="9"/>
  <c r="T14" i="9"/>
  <c r="U19" i="9"/>
  <c r="C19" i="9"/>
  <c r="L19" i="9"/>
  <c r="M19" i="9"/>
  <c r="N19" i="9"/>
  <c r="O19" i="9"/>
  <c r="H19" i="9"/>
  <c r="P13" i="9"/>
  <c r="Q13" i="9"/>
  <c r="S13" i="9"/>
  <c r="T13" i="9"/>
  <c r="U18" i="9"/>
  <c r="C18" i="9"/>
  <c r="L18" i="9"/>
  <c r="M18" i="9"/>
  <c r="N18" i="9"/>
  <c r="O18" i="9"/>
  <c r="P17" i="9"/>
  <c r="Q17" i="9"/>
  <c r="S17" i="9"/>
  <c r="T17" i="9"/>
  <c r="I12" i="9"/>
  <c r="P12" i="9"/>
  <c r="S12" i="9"/>
  <c r="T12" i="9"/>
  <c r="U17" i="9"/>
  <c r="C17" i="9"/>
  <c r="L17" i="9"/>
  <c r="M17" i="9"/>
  <c r="N17" i="9"/>
  <c r="O17" i="9"/>
  <c r="P16" i="9"/>
  <c r="Q16" i="9"/>
  <c r="S16" i="9"/>
  <c r="T16" i="9"/>
  <c r="P11" i="9"/>
  <c r="Q11" i="9"/>
  <c r="S11" i="9"/>
  <c r="T11" i="9"/>
  <c r="U16" i="9"/>
  <c r="C16" i="9"/>
  <c r="L16" i="9"/>
  <c r="M16" i="9"/>
  <c r="N16" i="9"/>
  <c r="O16" i="9"/>
  <c r="C10" i="9"/>
  <c r="L10" i="9"/>
  <c r="L15" i="9"/>
  <c r="C15" i="9"/>
  <c r="C9" i="9"/>
  <c r="L9" i="9"/>
  <c r="L14" i="9"/>
  <c r="H14" i="9"/>
  <c r="C14" i="9"/>
  <c r="C8" i="9"/>
  <c r="L8" i="9"/>
  <c r="L13" i="9"/>
  <c r="C13" i="9"/>
  <c r="C7" i="9"/>
  <c r="L7" i="9"/>
  <c r="L12" i="9"/>
  <c r="H12" i="9"/>
  <c r="A12" i="9"/>
  <c r="C6" i="9"/>
  <c r="L6" i="9"/>
  <c r="L11" i="9"/>
  <c r="C11" i="9"/>
  <c r="U10" i="9"/>
  <c r="H10" i="9"/>
  <c r="I9" i="9"/>
  <c r="P9" i="9"/>
  <c r="Q9" i="9"/>
  <c r="S9" i="9"/>
  <c r="U9" i="9"/>
  <c r="H9" i="9"/>
  <c r="P8" i="9"/>
  <c r="Q8" i="9"/>
  <c r="S8" i="9"/>
  <c r="U8" i="9"/>
  <c r="P7" i="9"/>
  <c r="Q7" i="9"/>
  <c r="S7" i="9"/>
  <c r="U7" i="9"/>
  <c r="P6" i="9"/>
  <c r="Q6" i="9"/>
  <c r="S6" i="9"/>
  <c r="U6" i="9"/>
  <c r="G30" i="2"/>
  <c r="P18" i="2"/>
  <c r="S18" i="2"/>
  <c r="T18" i="2"/>
  <c r="P13" i="2"/>
  <c r="Q13" i="2"/>
  <c r="S13" i="2"/>
  <c r="T13" i="2"/>
  <c r="U18" i="2"/>
  <c r="P30" i="2"/>
  <c r="I32" i="3"/>
  <c r="G32" i="3"/>
  <c r="E32" i="3"/>
  <c r="L30" i="2"/>
  <c r="E29" i="2"/>
  <c r="L29" i="2"/>
  <c r="W29" i="2"/>
  <c r="Q11" i="2"/>
  <c r="E31" i="1"/>
  <c r="I3" i="8"/>
  <c r="G31" i="1"/>
  <c r="L31" i="1"/>
  <c r="I1" i="8"/>
  <c r="O12" i="8"/>
  <c r="I2" i="8"/>
  <c r="P17" i="1"/>
  <c r="I2" i="7"/>
  <c r="C13" i="2"/>
  <c r="E28" i="1"/>
  <c r="L28" i="1"/>
  <c r="E28" i="3"/>
  <c r="P28" i="3"/>
  <c r="L28" i="3"/>
  <c r="E27" i="3"/>
  <c r="W28" i="3"/>
  <c r="I19" i="3"/>
  <c r="P19" i="3"/>
  <c r="S19" i="3"/>
  <c r="T19" i="3"/>
  <c r="I14" i="3"/>
  <c r="P14" i="3"/>
  <c r="S14" i="3"/>
  <c r="T14" i="3"/>
  <c r="U19" i="3"/>
  <c r="E29" i="3"/>
  <c r="N29" i="3"/>
  <c r="C38" i="3"/>
  <c r="C37" i="3"/>
  <c r="C36" i="3"/>
  <c r="I29" i="3"/>
  <c r="P29" i="3"/>
  <c r="A12" i="5"/>
  <c r="E12" i="5"/>
  <c r="A13" i="5"/>
  <c r="E13" i="5"/>
  <c r="A14" i="5"/>
  <c r="E14" i="5"/>
  <c r="V29" i="3"/>
  <c r="C35" i="3"/>
  <c r="Q28" i="3"/>
  <c r="U28" i="3"/>
  <c r="T29" i="3"/>
  <c r="C34" i="3"/>
  <c r="C33" i="3"/>
  <c r="P6" i="3"/>
  <c r="Q6" i="3"/>
  <c r="S6" i="3"/>
  <c r="P7" i="3"/>
  <c r="Q7" i="3"/>
  <c r="S7" i="3"/>
  <c r="G29" i="3"/>
  <c r="L29" i="3"/>
  <c r="O12" i="5"/>
  <c r="N28" i="3"/>
  <c r="B13" i="4"/>
  <c r="B12" i="4"/>
  <c r="B11" i="4"/>
  <c r="I2" i="4"/>
  <c r="Q11" i="1"/>
  <c r="P11" i="1"/>
  <c r="P27" i="1"/>
  <c r="E27" i="1"/>
  <c r="C8" i="1"/>
  <c r="L8" i="1"/>
  <c r="P8" i="1"/>
  <c r="Q8" i="1"/>
  <c r="S8" i="1"/>
  <c r="U8" i="1"/>
  <c r="C9" i="1"/>
  <c r="H9" i="1"/>
  <c r="I9" i="1"/>
  <c r="L9" i="1"/>
  <c r="P9" i="1"/>
  <c r="Q9" i="1"/>
  <c r="S9" i="1"/>
  <c r="U9" i="1"/>
  <c r="C10" i="1"/>
  <c r="H10" i="1"/>
  <c r="I10" i="1"/>
  <c r="L10" i="1"/>
  <c r="P10" i="1"/>
  <c r="Q10" i="1"/>
  <c r="S10" i="1"/>
  <c r="U10" i="1"/>
  <c r="C13" i="1"/>
  <c r="L13" i="1"/>
  <c r="P13" i="1"/>
  <c r="Q13" i="1"/>
  <c r="S13" i="1"/>
  <c r="T13" i="1"/>
  <c r="C14" i="1"/>
  <c r="H14" i="1"/>
  <c r="I14" i="1"/>
  <c r="L14" i="1"/>
  <c r="P14" i="1"/>
  <c r="S14" i="1"/>
  <c r="T14" i="1"/>
  <c r="C15" i="1"/>
  <c r="L15" i="1"/>
  <c r="P15" i="1"/>
  <c r="Q15" i="1"/>
  <c r="S15" i="1"/>
  <c r="T15" i="1"/>
  <c r="C18" i="1"/>
  <c r="L18" i="1"/>
  <c r="M18" i="1"/>
  <c r="N18" i="1"/>
  <c r="O18" i="1"/>
  <c r="P18" i="1"/>
  <c r="Q18" i="1"/>
  <c r="S18" i="1"/>
  <c r="T18" i="1"/>
  <c r="U18" i="1"/>
  <c r="C19" i="1"/>
  <c r="H19" i="1"/>
  <c r="I19" i="1"/>
  <c r="L19" i="1"/>
  <c r="M19" i="1"/>
  <c r="N19" i="1"/>
  <c r="O19" i="1"/>
  <c r="P19" i="1"/>
  <c r="S19" i="1"/>
  <c r="T19" i="1"/>
  <c r="U19" i="1"/>
  <c r="C20" i="1"/>
  <c r="L20" i="1"/>
  <c r="M20" i="1"/>
  <c r="N20" i="1"/>
  <c r="O20" i="1"/>
  <c r="P20" i="1"/>
  <c r="Q20" i="1"/>
  <c r="S20" i="1"/>
  <c r="T20" i="1"/>
  <c r="U20" i="1"/>
  <c r="P20" i="3"/>
  <c r="Q20" i="3"/>
  <c r="S20" i="3"/>
  <c r="T20" i="3"/>
  <c r="P15" i="3"/>
  <c r="Q15" i="3"/>
  <c r="S15" i="3"/>
  <c r="T15" i="3"/>
  <c r="U20" i="3"/>
  <c r="C20" i="3"/>
  <c r="L20" i="3"/>
  <c r="M20" i="3"/>
  <c r="N20" i="3"/>
  <c r="O20" i="3"/>
  <c r="C19" i="3"/>
  <c r="L19" i="3"/>
  <c r="M19" i="3"/>
  <c r="N19" i="3"/>
  <c r="O19" i="3"/>
  <c r="H19" i="3"/>
  <c r="P18" i="3"/>
  <c r="Q18" i="3"/>
  <c r="S18" i="3"/>
  <c r="T18" i="3"/>
  <c r="P13" i="3"/>
  <c r="Q13" i="3"/>
  <c r="S13" i="3"/>
  <c r="T13" i="3"/>
  <c r="U18" i="3"/>
  <c r="C18" i="3"/>
  <c r="L18" i="3"/>
  <c r="M18" i="3"/>
  <c r="N18" i="3"/>
  <c r="O18" i="3"/>
  <c r="P17" i="3"/>
  <c r="Q17" i="3"/>
  <c r="S17" i="3"/>
  <c r="T17" i="3"/>
  <c r="I12" i="3"/>
  <c r="P12" i="3"/>
  <c r="S12" i="3"/>
  <c r="T12" i="3"/>
  <c r="U17" i="3"/>
  <c r="C17" i="3"/>
  <c r="L17" i="3"/>
  <c r="M17" i="3"/>
  <c r="N17" i="3"/>
  <c r="O17" i="3"/>
  <c r="P16" i="3"/>
  <c r="Q16" i="3"/>
  <c r="S16" i="3"/>
  <c r="T16" i="3"/>
  <c r="P11" i="3"/>
  <c r="Q11" i="3"/>
  <c r="S11" i="3"/>
  <c r="T11" i="3"/>
  <c r="U16" i="3"/>
  <c r="C16" i="3"/>
  <c r="L16" i="3"/>
  <c r="M16" i="3"/>
  <c r="N16" i="3"/>
  <c r="O16" i="3"/>
  <c r="C10" i="3"/>
  <c r="L10" i="3"/>
  <c r="L15" i="3"/>
  <c r="C15" i="3"/>
  <c r="C9" i="3"/>
  <c r="L9" i="3"/>
  <c r="L14" i="3"/>
  <c r="H14" i="3"/>
  <c r="C14" i="3"/>
  <c r="C8" i="3"/>
  <c r="L8" i="3"/>
  <c r="L13" i="3"/>
  <c r="C13" i="3"/>
  <c r="C7" i="3"/>
  <c r="L7" i="3"/>
  <c r="L12" i="3"/>
  <c r="H12" i="3"/>
  <c r="A12" i="3"/>
  <c r="C6" i="3"/>
  <c r="L6" i="3"/>
  <c r="L11" i="3"/>
  <c r="C11" i="3"/>
  <c r="I10" i="3"/>
  <c r="P10" i="3"/>
  <c r="Q10" i="3"/>
  <c r="S10" i="3"/>
  <c r="U10" i="3"/>
  <c r="H10" i="3"/>
  <c r="I9" i="3"/>
  <c r="P9" i="3"/>
  <c r="Q9" i="3"/>
  <c r="S9" i="3"/>
  <c r="U9" i="3"/>
  <c r="H9" i="3"/>
  <c r="P8" i="3"/>
  <c r="Q8" i="3"/>
  <c r="S8" i="3"/>
  <c r="U8" i="3"/>
  <c r="U7" i="3"/>
  <c r="U6" i="3"/>
  <c r="P20" i="2"/>
  <c r="Q20" i="2"/>
  <c r="S20" i="2"/>
  <c r="T20" i="2"/>
  <c r="P15" i="2"/>
  <c r="Q15" i="2"/>
  <c r="S15" i="2"/>
  <c r="T15" i="2"/>
  <c r="U20" i="2"/>
  <c r="C20" i="2"/>
  <c r="L20" i="2"/>
  <c r="M20" i="2"/>
  <c r="N20" i="2"/>
  <c r="O20" i="2"/>
  <c r="I19" i="2"/>
  <c r="P19" i="2"/>
  <c r="S19" i="2"/>
  <c r="T19" i="2"/>
  <c r="I14" i="2"/>
  <c r="P14" i="2"/>
  <c r="S14" i="2"/>
  <c r="T14" i="2"/>
  <c r="U19" i="2"/>
  <c r="C19" i="2"/>
  <c r="L19" i="2"/>
  <c r="M19" i="2"/>
  <c r="N19" i="2"/>
  <c r="O19" i="2"/>
  <c r="H19" i="2"/>
  <c r="C18" i="2"/>
  <c r="L18" i="2"/>
  <c r="M18" i="2"/>
  <c r="N18" i="2"/>
  <c r="O18" i="2"/>
  <c r="P17" i="2"/>
  <c r="Q17" i="2"/>
  <c r="S17" i="2"/>
  <c r="T17" i="2"/>
  <c r="I12" i="2"/>
  <c r="P12" i="2"/>
  <c r="S12" i="2"/>
  <c r="T12" i="2"/>
  <c r="U17" i="2"/>
  <c r="C17" i="2"/>
  <c r="L17" i="2"/>
  <c r="M17" i="2"/>
  <c r="N17" i="2"/>
  <c r="O17" i="2"/>
  <c r="P16" i="2"/>
  <c r="Q16" i="2"/>
  <c r="S16" i="2"/>
  <c r="T16" i="2"/>
  <c r="P11" i="2"/>
  <c r="S11" i="2"/>
  <c r="T11" i="2"/>
  <c r="U16" i="2"/>
  <c r="C16" i="2"/>
  <c r="L16" i="2"/>
  <c r="M16" i="2"/>
  <c r="N16" i="2"/>
  <c r="O16" i="2"/>
  <c r="C10" i="2"/>
  <c r="L10" i="2"/>
  <c r="L15" i="2"/>
  <c r="C15" i="2"/>
  <c r="C9" i="2"/>
  <c r="L9" i="2"/>
  <c r="L14" i="2"/>
  <c r="H14" i="2"/>
  <c r="C14" i="2"/>
  <c r="C8" i="2"/>
  <c r="L8" i="2"/>
  <c r="L13" i="2"/>
  <c r="C7" i="2"/>
  <c r="L7" i="2"/>
  <c r="L12" i="2"/>
  <c r="H12" i="2"/>
  <c r="A12" i="2"/>
  <c r="C6" i="2"/>
  <c r="L6" i="2"/>
  <c r="L11" i="2"/>
  <c r="C11" i="2"/>
  <c r="I10" i="2"/>
  <c r="P10" i="2"/>
  <c r="Q10" i="2"/>
  <c r="S10" i="2"/>
  <c r="U10" i="2"/>
  <c r="H10" i="2"/>
  <c r="I9" i="2"/>
  <c r="P9" i="2"/>
  <c r="Q9" i="2"/>
  <c r="S9" i="2"/>
  <c r="U9" i="2"/>
  <c r="H9" i="2"/>
  <c r="P8" i="2"/>
  <c r="Q8" i="2"/>
  <c r="S8" i="2"/>
  <c r="U8" i="2"/>
  <c r="P7" i="2"/>
  <c r="Q7" i="2"/>
  <c r="S7" i="2"/>
  <c r="U7" i="2"/>
  <c r="P6" i="2"/>
  <c r="Q6" i="2"/>
  <c r="S6" i="2"/>
  <c r="U6" i="2"/>
  <c r="Q17" i="1"/>
  <c r="S17" i="1"/>
  <c r="T17" i="1"/>
  <c r="I12" i="1"/>
  <c r="P12" i="1"/>
  <c r="S12" i="1"/>
  <c r="T12" i="1"/>
  <c r="U17" i="1"/>
  <c r="C17" i="1"/>
  <c r="L17" i="1"/>
  <c r="M17" i="1"/>
  <c r="N17" i="1"/>
  <c r="O17" i="1"/>
  <c r="C7" i="1"/>
  <c r="L7" i="1"/>
  <c r="P16" i="1"/>
  <c r="Q16" i="1"/>
  <c r="S16" i="1"/>
  <c r="T16" i="1"/>
  <c r="S11" i="1"/>
  <c r="T11" i="1"/>
  <c r="U16" i="1"/>
  <c r="C16" i="1"/>
  <c r="L16" i="1"/>
  <c r="M16" i="1"/>
  <c r="N16" i="1"/>
  <c r="O16" i="1"/>
  <c r="C6" i="1"/>
  <c r="L6" i="1"/>
  <c r="L12" i="1"/>
  <c r="H12" i="1"/>
  <c r="A12" i="1"/>
  <c r="L11" i="1"/>
  <c r="C11" i="1"/>
  <c r="P7" i="1"/>
  <c r="Q7" i="1"/>
  <c r="S7" i="1"/>
  <c r="U7" i="1"/>
  <c r="P6" i="1"/>
  <c r="Q6" i="1"/>
  <c r="S6" i="1"/>
  <c r="U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GAAdmin</author>
    <author>Rob Burrows</author>
    <author>cmcneil</author>
    <author>ehbaker</author>
  </authors>
  <commentList>
    <comment ref="M2" authorId="0" shapeId="0" xr:uid="{6B21FB15-F5EA-4A7D-A3AA-AB7B102AE1DA}">
      <text>
        <r>
          <rPr>
            <b/>
            <sz val="8"/>
            <color indexed="81"/>
            <rFont val="Tahoma"/>
            <family val="2"/>
          </rPr>
          <t>GAAdmin:</t>
        </r>
        <r>
          <rPr>
            <sz val="8"/>
            <color indexed="81"/>
            <rFont val="Tahoma"/>
            <family val="2"/>
          </rPr>
          <t xml:space="preserve">
these losses are calculated based on changes in the summer surface height on the mass balance pole.  If the summer surface is lower than previous measurements then there is some sort of loss.  This loss could be either the loss of ice or the loss of Old Firn.</t>
        </r>
      </text>
    </comment>
    <comment ref="P2" authorId="0" shapeId="0" xr:uid="{452201CE-2F41-4462-931A-674F336B7DE4}">
      <text>
        <r>
          <rPr>
            <sz val="8"/>
            <color indexed="81"/>
            <rFont val="Tahoma"/>
            <family val="2"/>
          </rPr>
          <t>This is the amount of snow that is above the summer surface.  The value should always be positive or zero.</t>
        </r>
      </text>
    </comment>
    <comment ref="A3" authorId="0" shapeId="0" xr:uid="{1CDB71C7-9248-4DCA-B4B8-CD946F0F6AE8}">
      <text>
        <r>
          <rPr>
            <b/>
            <sz val="8"/>
            <color indexed="81"/>
            <rFont val="Tahoma"/>
            <family val="2"/>
          </rPr>
          <t>GAAdmin:</t>
        </r>
        <r>
          <rPr>
            <sz val="8"/>
            <color indexed="81"/>
            <rFont val="Tahoma"/>
            <family val="2"/>
          </rPr>
          <t xml:space="preserve">
The stake with which the observations were made.</t>
        </r>
      </text>
    </comment>
    <comment ref="B3" authorId="0" shapeId="0" xr:uid="{13E6DCC7-740A-41D5-8F05-B42EF911F6E1}">
      <text>
        <r>
          <rPr>
            <b/>
            <sz val="8"/>
            <color indexed="81"/>
            <rFont val="Tahoma"/>
            <family val="2"/>
          </rPr>
          <t>GAAdmin:</t>
        </r>
        <r>
          <rPr>
            <sz val="8"/>
            <color indexed="81"/>
            <rFont val="Tahoma"/>
            <family val="2"/>
          </rPr>
          <t xml:space="preserve">
Date of observations</t>
        </r>
      </text>
    </comment>
    <comment ref="C3" authorId="0" shapeId="0" xr:uid="{720254FC-F087-4751-BACE-BFE6D3FBA430}">
      <text>
        <r>
          <rPr>
            <b/>
            <sz val="8"/>
            <color indexed="81"/>
            <rFont val="Tahoma"/>
            <family val="2"/>
          </rPr>
          <t>GAAdmin:</t>
        </r>
        <r>
          <rPr>
            <sz val="8"/>
            <color indexed="81"/>
            <rFont val="Tahoma"/>
            <family val="2"/>
          </rPr>
          <t xml:space="preserve">
Stake reading is the height of the glacier's surface on the balance pole (stake) as measured from the very bottom of the pole.  This "Tape" reading is obtained by measuring the exposed portion of the stake and then subtracting this measurement from the total stake length from its very bottom.</t>
        </r>
      </text>
    </comment>
    <comment ref="D3" authorId="0" shapeId="0" xr:uid="{661E4924-7330-47B9-9763-02D6CBFBB11C}">
      <text>
        <r>
          <rPr>
            <b/>
            <sz val="8"/>
            <color indexed="81"/>
            <rFont val="Tahoma"/>
            <family val="2"/>
          </rPr>
          <t>GAAdmin:</t>
        </r>
        <r>
          <rPr>
            <sz val="8"/>
            <color indexed="81"/>
            <rFont val="Tahoma"/>
            <family val="2"/>
          </rPr>
          <t xml:space="preserve">
Stake reading obtained from surveys.  b** should be the most reliable.  A stake reading is the height of the glacier's surface along the balance pole as measured from the bottom.</t>
        </r>
      </text>
    </comment>
    <comment ref="F3" authorId="0" shapeId="0" xr:uid="{16905ECB-C38D-49A6-8A43-A000DBCC691D}">
      <text>
        <r>
          <rPr>
            <sz val="8"/>
            <color indexed="81"/>
            <rFont val="Tahoma"/>
            <family val="2"/>
          </rPr>
          <t>Type of surface strata:
Glacier Ice, Snow, Superimposed Ice, Old Firn or New Firn.  For the Fall surveys this should be the surface strata beneath any fresh snow.</t>
        </r>
      </text>
    </comment>
    <comment ref="G3" authorId="0" shapeId="0" xr:uid="{819CE6F0-362C-4111-AA0B-0610BCE7F14D}">
      <text>
        <r>
          <rPr>
            <b/>
            <sz val="8"/>
            <color indexed="81"/>
            <rFont val="Tahoma"/>
            <family val="2"/>
          </rPr>
          <t>GAAdmin:</t>
        </r>
        <r>
          <rPr>
            <sz val="8"/>
            <color indexed="81"/>
            <rFont val="Tahoma"/>
            <family val="2"/>
          </rPr>
          <t xml:space="preserve">
Average depth of snow as determined in snow pit or depth at stake location.</t>
        </r>
      </text>
    </comment>
    <comment ref="H3" authorId="0" shapeId="0" xr:uid="{ECEBC56E-5E1F-4A85-9BDE-01882DD98F9F}">
      <text>
        <r>
          <rPr>
            <b/>
            <sz val="8"/>
            <color indexed="81"/>
            <rFont val="Tahoma"/>
            <family val="2"/>
          </rPr>
          <t>GAAdmin:</t>
        </r>
        <r>
          <rPr>
            <sz val="8"/>
            <color indexed="81"/>
            <rFont val="Tahoma"/>
            <family val="2"/>
          </rPr>
          <t xml:space="preserve">
Average depth of snow from probing
</t>
        </r>
      </text>
    </comment>
    <comment ref="I3" authorId="0" shapeId="0" xr:uid="{AAFEBE8D-C99D-4A0A-ACA4-9DFEEBDDEEA2}">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K3" authorId="0" shapeId="0" xr:uid="{8898B200-0B2F-44DC-933D-B8D569D240EE}">
      <text>
        <r>
          <rPr>
            <b/>
            <sz val="8"/>
            <color indexed="81"/>
            <rFont val="Tahoma"/>
            <family val="2"/>
          </rPr>
          <t>GAAdmin:</t>
        </r>
        <r>
          <rPr>
            <sz val="8"/>
            <color indexed="81"/>
            <rFont val="Tahoma"/>
            <family val="2"/>
          </rPr>
          <t xml:space="preserve">
number of observations of snow depth</t>
        </r>
      </text>
    </comment>
    <comment ref="L3" authorId="0" shapeId="0" xr:uid="{0E2B3703-9B92-488D-9D05-01E3250770A1}">
      <text>
        <r>
          <rPr>
            <sz val="8"/>
            <color indexed="81"/>
            <rFont val="Tahoma"/>
            <family val="2"/>
          </rPr>
          <t xml:space="preserve">Summer surface on the stake.  
In the </t>
        </r>
        <r>
          <rPr>
            <b/>
            <sz val="8"/>
            <color indexed="81"/>
            <rFont val="Tahoma"/>
            <family val="2"/>
          </rPr>
          <t>Spring</t>
        </r>
        <r>
          <rPr>
            <sz val="8"/>
            <color indexed="81"/>
            <rFont val="Tahoma"/>
            <family val="2"/>
          </rPr>
          <t xml:space="preserve"> this should be the lower of that determined by snow depth measurements AND b** from the previous year.
In the </t>
        </r>
        <r>
          <rPr>
            <b/>
            <sz val="8"/>
            <color indexed="81"/>
            <rFont val="Tahoma"/>
            <family val="2"/>
          </rPr>
          <t xml:space="preserve">Fall </t>
        </r>
        <r>
          <rPr>
            <sz val="8"/>
            <color indexed="81"/>
            <rFont val="Tahoma"/>
            <family val="2"/>
          </rPr>
          <t xml:space="preserve">this should be the stake reading minus the remaining snow pack or superimposed ice.  It should be close to the Spring measurement.  If it is less than the spring measurement then there was loss.  If it is more than the spring measurement then there is likely an error and the spring measurment should be used. </t>
        </r>
      </text>
    </comment>
    <comment ref="M3" authorId="0" shapeId="0" xr:uid="{A26A6D23-E9C8-44E5-886A-CA4EA877A8B7}">
      <text>
        <r>
          <rPr>
            <b/>
            <sz val="8"/>
            <color indexed="81"/>
            <rFont val="Tahoma"/>
            <family val="2"/>
          </rPr>
          <t>GAAdmin:</t>
        </r>
        <r>
          <rPr>
            <sz val="8"/>
            <color indexed="81"/>
            <rFont val="Tahoma"/>
            <family val="2"/>
          </rPr>
          <t xml:space="preserve">
This density is estimated and is based on the surface strata of the previous survey.</t>
        </r>
      </text>
    </comment>
    <comment ref="N3" authorId="0" shapeId="0" xr:uid="{7EDB291B-C8AE-476F-81AB-3128E5D1CBE0}">
      <text>
        <r>
          <rPr>
            <b/>
            <sz val="8"/>
            <color indexed="81"/>
            <rFont val="Tahoma"/>
            <family val="2"/>
          </rPr>
          <t>GAAdmin:</t>
        </r>
        <r>
          <rPr>
            <sz val="8"/>
            <color indexed="81"/>
            <rFont val="Tahoma"/>
            <family val="2"/>
          </rPr>
          <t xml:space="preserve">
This is the water equivalent in meters for the snow or ice along the length of the balance pole.  Taking the bottom of the pole to be zero, the the height the surface is on the pole (b'ss) is than converted to a water equivelent for this column using an estimated density.</t>
        </r>
      </text>
    </comment>
    <comment ref="O3" authorId="0" shapeId="0" xr:uid="{97451E64-7C6A-4ECB-A3EB-D34ACB97585E}">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3" authorId="0" shapeId="0" xr:uid="{54632033-FDDD-456A-8057-1DBBBB84F1CB}">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3" authorId="0" shapeId="0" xr:uid="{157704FB-1A8A-4A8C-A24E-C77CD07F67B1}">
      <text>
        <r>
          <rPr>
            <sz val="8"/>
            <color indexed="81"/>
            <rFont val="Tahoma"/>
            <family val="2"/>
          </rPr>
          <t>Average density of the material above ss.</t>
        </r>
      </text>
    </comment>
    <comment ref="R3" authorId="0" shapeId="0" xr:uid="{A3DF06B9-FFCF-4610-AFCB-0F68EDC25F93}">
      <text>
        <r>
          <rPr>
            <b/>
            <sz val="8"/>
            <color indexed="81"/>
            <rFont val="Tahoma"/>
            <family val="2"/>
          </rPr>
          <t>GAAdmin:</t>
        </r>
        <r>
          <rPr>
            <sz val="8"/>
            <color indexed="81"/>
            <rFont val="Tahoma"/>
            <family val="2"/>
          </rPr>
          <t xml:space="preserve">
Is the Density Estimated (E) or is it Measured (M) ?</t>
        </r>
      </text>
    </comment>
    <comment ref="S3" authorId="0" shapeId="0" xr:uid="{02EA3887-CA90-49F3-8514-CBCAF5BC9F9E}">
      <text>
        <r>
          <rPr>
            <sz val="8"/>
            <color indexed="81"/>
            <rFont val="Tahoma"/>
            <family val="2"/>
          </rPr>
          <t>This is a balance value based on accumulation of material primarily derived from "Snow".  This of course could also be New Firn, Superimposed Ice or Snow.  Hopefully the title of this column is not decieving.
In the Fall any remaining snow is then called New Firn.  Then in the fall or rather, for New Firn (Nfirn) the amount of water retained in the snow pack by capillary retention is subtracted.  This is 7% of the void space.  See Mayo's book page 40 for more explanation.</t>
        </r>
      </text>
    </comment>
    <comment ref="T3" authorId="0" shapeId="0" xr:uid="{A6334BC2-872E-4AE9-A409-911217B5E1CF}">
      <text>
        <r>
          <rPr>
            <b/>
            <sz val="8"/>
            <color indexed="81"/>
            <rFont val="Tahoma"/>
            <family val="2"/>
          </rPr>
          <t>GAAdmin:</t>
        </r>
        <r>
          <rPr>
            <sz val="8"/>
            <color indexed="81"/>
            <rFont val="Tahoma"/>
            <family val="2"/>
          </rPr>
          <t xml:space="preserve">
This is the seasonal Net balance.  If the observation date is from Fall, this value is a Summer Balance.  If the observation data is from Spring, then it is the Winter Balance.
For </t>
        </r>
        <r>
          <rPr>
            <b/>
            <sz val="8"/>
            <color indexed="81"/>
            <rFont val="Tahoma"/>
            <family val="2"/>
          </rPr>
          <t>Spring</t>
        </r>
        <r>
          <rPr>
            <sz val="8"/>
            <color indexed="81"/>
            <rFont val="Tahoma"/>
            <family val="2"/>
          </rPr>
          <t xml:space="preserve">, this is the volume of water contained in the snow between the surface and the summer surface.
For </t>
        </r>
        <r>
          <rPr>
            <b/>
            <sz val="8"/>
            <color indexed="81"/>
            <rFont val="Tahoma"/>
            <family val="2"/>
          </rPr>
          <t>Fall</t>
        </r>
        <r>
          <rPr>
            <sz val="8"/>
            <color indexed="81"/>
            <rFont val="Tahoma"/>
            <family val="2"/>
          </rPr>
          <t xml:space="preserve">, this is the difference in the volume of water contained in the snow between the Fall and Spring.
Fall - Spring = Summer Balance.
This will be negative.  </t>
        </r>
      </text>
    </comment>
    <comment ref="L4" authorId="0" shapeId="0" xr:uid="{88ABDB4B-1E48-47AC-BEE2-6C3DBCD5CB4C}">
      <text>
        <r>
          <rPr>
            <sz val="8"/>
            <color indexed="81"/>
            <rFont val="Tahoma"/>
            <family val="2"/>
          </rPr>
          <t xml:space="preserve">This is both calculated and measured.  What goes in this column is an average or the "best value".  This is done so that there is a check on the entered value.  Identifying the summer surface correctly is VERY important!  That is why there is a built in check.
</t>
        </r>
      </text>
    </comment>
    <comment ref="S4" authorId="0" shapeId="0" xr:uid="{9FBF4F6D-122E-4A57-B19D-D825BB236963}">
      <text/>
    </comment>
    <comment ref="J5" authorId="1" shapeId="0" xr:uid="{9C3A2B02-4A44-4D71-8C51-4EFF94BFA1B6}">
      <text>
        <r>
          <rPr>
            <b/>
            <sz val="9"/>
            <color indexed="81"/>
            <rFont val="Tahoma"/>
            <family val="2"/>
          </rPr>
          <t>Rob Burrows:</t>
        </r>
        <r>
          <rPr>
            <sz val="9"/>
            <color indexed="81"/>
            <rFont val="Tahoma"/>
            <family val="2"/>
          </rPr>
          <t xml:space="preserve">
This value should be close to zero in a negative balance year.  In positive balance years it should be close to the depth of firn retained (and compared to any probe or pit measurements)</t>
        </r>
      </text>
    </comment>
    <comment ref="Q6" authorId="1" shapeId="0" xr:uid="{AD8C2B62-280F-47B3-B1F2-542E35C6F717}">
      <text>
        <r>
          <rPr>
            <b/>
            <sz val="9"/>
            <color indexed="81"/>
            <rFont val="Tahoma"/>
            <family val="2"/>
          </rPr>
          <t>Rob Burrows:</t>
        </r>
        <r>
          <rPr>
            <sz val="9"/>
            <color indexed="81"/>
            <rFont val="Tahoma"/>
            <family val="2"/>
          </rPr>
          <t xml:space="preserve">
All Nfirn densities for 2013 as estimated from new firn measured on 8/21/14 at stake 17-B.</t>
        </r>
      </text>
    </comment>
    <comment ref="J11" authorId="1" shapeId="0" xr:uid="{6B40FDA5-20F4-480D-B1D0-AF743518D165}">
      <text>
        <r>
          <rPr>
            <b/>
            <sz val="9"/>
            <color indexed="81"/>
            <rFont val="Tahoma"/>
            <family val="2"/>
          </rPr>
          <t>Rob Burrows:</t>
        </r>
        <r>
          <rPr>
            <sz val="9"/>
            <color indexed="81"/>
            <rFont val="Tahoma"/>
            <family val="2"/>
          </rPr>
          <t xml:space="preserve">
These values show that snow probing penetrated into the new firn by up to 1.36 m.  Will use the previous fall's b'ss instead for any calcs.</t>
        </r>
      </text>
    </comment>
    <comment ref="J16" authorId="1" shapeId="0" xr:uid="{9C047E0F-86CE-4C83-B2CF-BBC1DFEC3734}">
      <text>
        <r>
          <rPr>
            <b/>
            <sz val="9"/>
            <color indexed="81"/>
            <rFont val="Tahoma"/>
            <family val="2"/>
          </rPr>
          <t>Rob Burrows:</t>
        </r>
        <r>
          <rPr>
            <sz val="9"/>
            <color indexed="81"/>
            <rFont val="Tahoma"/>
            <family val="2"/>
          </rPr>
          <t xml:space="preserve">
These values show that snow probing penetrated into the new firn by up to 0.80 m.  Will use the previous fall's b'ss instead for any calcs.</t>
        </r>
      </text>
    </comment>
    <comment ref="A24" authorId="0" shapeId="0" xr:uid="{A52F756E-EC57-43FC-801B-8CD5DDEEF20C}">
      <text>
        <r>
          <rPr>
            <b/>
            <sz val="8"/>
            <color indexed="81"/>
            <rFont val="Tahoma"/>
            <family val="2"/>
          </rPr>
          <t>GAAdmin:</t>
        </r>
        <r>
          <rPr>
            <sz val="8"/>
            <color indexed="81"/>
            <rFont val="Tahoma"/>
            <family val="2"/>
          </rPr>
          <t xml:space="preserve">
The stake with which the observations were made.</t>
        </r>
      </text>
    </comment>
    <comment ref="B24" authorId="0" shapeId="0" xr:uid="{D9314813-A13C-4FF6-B039-33B68F7DDA73}">
      <text>
        <r>
          <rPr>
            <b/>
            <sz val="8"/>
            <color indexed="81"/>
            <rFont val="Tahoma"/>
            <family val="2"/>
          </rPr>
          <t>GAAdmin:</t>
        </r>
        <r>
          <rPr>
            <sz val="8"/>
            <color indexed="81"/>
            <rFont val="Tahoma"/>
            <family val="2"/>
          </rPr>
          <t xml:space="preserve">
Date of observations</t>
        </r>
      </text>
    </comment>
    <comment ref="C24" authorId="2" shapeId="0" xr:uid="{9C4C9658-15BF-4AE4-8728-EACD4116D7FE}">
      <text>
        <r>
          <rPr>
            <b/>
            <sz val="9"/>
            <color indexed="81"/>
            <rFont val="Tahoma"/>
            <family val="2"/>
          </rPr>
          <t>cmcneil:</t>
        </r>
        <r>
          <rPr>
            <sz val="9"/>
            <color indexed="81"/>
            <rFont val="Tahoma"/>
            <family val="2"/>
          </rPr>
          <t xml:space="preserve">
Total length of stake</t>
        </r>
      </text>
    </comment>
    <comment ref="D24" authorId="2" shapeId="0" xr:uid="{C07491FD-6A9E-413D-BBEA-000259C4A305}">
      <text>
        <r>
          <rPr>
            <b/>
            <sz val="9"/>
            <color indexed="81"/>
            <rFont val="Tahoma"/>
            <family val="2"/>
          </rPr>
          <t>cmcneil:</t>
        </r>
        <r>
          <rPr>
            <sz val="9"/>
            <color indexed="81"/>
            <rFont val="Tahoma"/>
            <family val="2"/>
          </rPr>
          <t xml:space="preserve">
Length of stake above the surface noted in column D</t>
        </r>
      </text>
    </comment>
    <comment ref="E24" authorId="2" shapeId="0" xr:uid="{E6FD7AF9-C5FE-4823-87EF-8E38803A81F6}">
      <text>
        <r>
          <rPr>
            <b/>
            <sz val="9"/>
            <color indexed="81"/>
            <rFont val="Tahoma"/>
            <family val="2"/>
          </rPr>
          <t>cmcneil:</t>
        </r>
        <r>
          <rPr>
            <sz val="9"/>
            <color indexed="81"/>
            <rFont val="Tahoma"/>
            <family val="2"/>
          </rPr>
          <t xml:space="preserve">
Length of stake still below the surface noted in column D</t>
        </r>
      </text>
    </comment>
    <comment ref="F24" authorId="0" shapeId="0" xr:uid="{A49E9A4C-CE4E-4C41-81E2-9F5D90A43809}">
      <text>
        <r>
          <rPr>
            <sz val="8"/>
            <color indexed="81"/>
            <rFont val="Tahoma"/>
            <family val="2"/>
          </rPr>
          <t>Type of surface strata:
Glacier Ice, Snow, Superimposed Ice, Old Firn or New Firn.  For the Fall surveys this should be the surface strata beneath any fresh snow.</t>
        </r>
      </text>
    </comment>
    <comment ref="G24" authorId="0" shapeId="0" xr:uid="{741D6E4F-C5F1-4517-A353-44E5E32FF51D}">
      <text>
        <r>
          <rPr>
            <b/>
            <sz val="8"/>
            <color indexed="81"/>
            <rFont val="Tahoma"/>
            <family val="2"/>
          </rPr>
          <t>GAAdmin:</t>
        </r>
        <r>
          <rPr>
            <sz val="8"/>
            <color indexed="81"/>
            <rFont val="Tahoma"/>
            <family val="2"/>
          </rPr>
          <t xml:space="preserve">
Average depth of snow as determined in snow pit.</t>
        </r>
      </text>
    </comment>
    <comment ref="H24" authorId="0" shapeId="0" xr:uid="{919AEBEC-4574-4D7C-A2A7-B3E4C38503B4}">
      <text>
        <r>
          <rPr>
            <b/>
            <sz val="8"/>
            <color indexed="81"/>
            <rFont val="Tahoma"/>
            <family val="2"/>
          </rPr>
          <t>GAAdmin:</t>
        </r>
        <r>
          <rPr>
            <sz val="8"/>
            <color indexed="81"/>
            <rFont val="Tahoma"/>
            <family val="2"/>
          </rPr>
          <t xml:space="preserve">
Average depth of snow from probing
</t>
        </r>
      </text>
    </comment>
    <comment ref="I24" authorId="0" shapeId="0" xr:uid="{471DD81A-1BB5-40C0-B27A-9CCABC10F0FB}">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24" authorId="0" shapeId="0" xr:uid="{AC26FBB2-CCB9-41AD-B58D-1EA143BCEBAE}">
      <text>
        <r>
          <rPr>
            <b/>
            <sz val="8"/>
            <color indexed="81"/>
            <rFont val="Tahoma"/>
            <family val="2"/>
          </rPr>
          <t>GAAdmin:</t>
        </r>
        <r>
          <rPr>
            <sz val="8"/>
            <color indexed="81"/>
            <rFont val="Tahoma"/>
            <family val="2"/>
          </rPr>
          <t xml:space="preserve">
Standard Error</t>
        </r>
      </text>
    </comment>
    <comment ref="K24" authorId="0" shapeId="0" xr:uid="{884EC63D-26E6-40E4-B8E8-F0D8EFA4957D}">
      <text>
        <r>
          <rPr>
            <b/>
            <sz val="8"/>
            <color indexed="81"/>
            <rFont val="Tahoma"/>
            <family val="2"/>
          </rPr>
          <t>GAAdmin:</t>
        </r>
        <r>
          <rPr>
            <sz val="8"/>
            <color indexed="81"/>
            <rFont val="Tahoma"/>
            <family val="2"/>
          </rPr>
          <t xml:space="preserve">
number of observations of snow depth</t>
        </r>
      </text>
    </comment>
    <comment ref="M24" authorId="0" shapeId="0" xr:uid="{5EE2F133-300D-4A97-8F39-D3E523A6BA1E}">
      <text>
        <r>
          <rPr>
            <b/>
            <sz val="8"/>
            <color indexed="81"/>
            <rFont val="Tahoma"/>
            <family val="2"/>
          </rPr>
          <t>GAAdmin:</t>
        </r>
        <r>
          <rPr>
            <sz val="8"/>
            <color indexed="81"/>
            <rFont val="Tahoma"/>
            <family val="2"/>
          </rPr>
          <t xml:space="preserve">
This density is estimated and is based on the surface strata of the previous survey.</t>
        </r>
      </text>
    </comment>
    <comment ref="O24" authorId="0" shapeId="0" xr:uid="{32A22CCF-FD9F-41AA-99CA-8BA695FA644C}">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24" authorId="0" shapeId="0" xr:uid="{69625495-FD10-4A5B-9DCD-8D3D4AC90E04}">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24" authorId="0" shapeId="0" xr:uid="{DA5D7CC9-29BF-4CF0-B8EB-B27761E0B6E9}">
      <text>
        <r>
          <rPr>
            <sz val="8"/>
            <color indexed="81"/>
            <rFont val="Tahoma"/>
            <family val="2"/>
          </rPr>
          <t>Average density of the material above ss.</t>
        </r>
      </text>
    </comment>
    <comment ref="S24" authorId="3" shapeId="0" xr:uid="{25240399-4339-41D3-B197-1CC5CC562DC6}">
      <text>
        <r>
          <rPr>
            <b/>
            <sz val="9"/>
            <color indexed="81"/>
            <rFont val="Tahoma"/>
            <family val="2"/>
          </rPr>
          <t xml:space="preserve">ehbaker:
</t>
        </r>
        <r>
          <rPr>
            <sz val="9"/>
            <color indexed="81"/>
            <rFont val="Tahoma"/>
            <family val="2"/>
          </rPr>
          <t>maximum fraction of snowpack captured by measured density.</t>
        </r>
      </text>
    </comment>
    <comment ref="T24" authorId="2" shapeId="0" xr:uid="{BACB7F37-B699-45E8-99AB-B256E5486EE9}">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U24" authorId="2" shapeId="0" xr:uid="{151E4AD3-4C1C-430F-998C-F72BC4E9446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V24" authorId="2" shapeId="0" xr:uid="{9F502182-4D41-4124-A1AC-1A98CAAA0828}">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W24" authorId="2" shapeId="0" xr:uid="{7E05FEE6-31C6-473F-8040-04BD6E1A41AE}">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X24" authorId="2" shapeId="0" xr:uid="{96D21734-040C-4DB8-8D56-7D17914BF8FD}">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Q27" authorId="3" shapeId="0" xr:uid="{21691527-3F5D-4693-B1A2-278804C37A91}">
      <text>
        <r>
          <rPr>
            <b/>
            <sz val="9"/>
            <color indexed="81"/>
            <rFont val="Tahoma"/>
            <family val="2"/>
          </rPr>
          <t>ehbaker:</t>
        </r>
        <r>
          <rPr>
            <sz val="9"/>
            <color indexed="81"/>
            <rFont val="Tahoma"/>
            <family val="2"/>
          </rPr>
          <t xml:space="preserve">
All Nfirn densities for 2013 as estimated from new firn measured on 8/21/14 at stake 17-B.</t>
        </r>
      </text>
    </comment>
    <comment ref="E28" authorId="3" shapeId="0" xr:uid="{75A38851-20B5-4E17-941B-1BABF2EDF512}">
      <text>
        <r>
          <rPr>
            <b/>
            <sz val="9"/>
            <color indexed="81"/>
            <rFont val="Tahoma"/>
            <family val="2"/>
          </rPr>
          <t>ehbaker:</t>
        </r>
        <r>
          <rPr>
            <sz val="9"/>
            <color indexed="81"/>
            <rFont val="Tahoma"/>
            <family val="2"/>
          </rPr>
          <t xml:space="preserve">
Different from above, as they are using trigonometry to try and account for bending. Not reliable; omitted.
</t>
        </r>
      </text>
    </comment>
    <comment ref="G28" authorId="3" shapeId="0" xr:uid="{7EEE2D57-A9A7-4FCE-AFD4-B44B76060BAA}">
      <text>
        <r>
          <rPr>
            <b/>
            <sz val="9"/>
            <color indexed="81"/>
            <rFont val="Tahoma"/>
            <family val="2"/>
          </rPr>
          <t>ehbaker:</t>
        </r>
        <r>
          <rPr>
            <sz val="9"/>
            <color indexed="81"/>
            <rFont val="Tahoma"/>
            <family val="2"/>
          </rPr>
          <t xml:space="preserve">
From R. Burrows, measured depth of 2.8 m is unreliable, penetrated into firn. Do not trust.</t>
        </r>
      </text>
    </comment>
    <comment ref="L31" authorId="3" shapeId="0" xr:uid="{09204E8C-738A-4DC4-AFCB-1ED9DE67E298}">
      <text>
        <r>
          <rPr>
            <b/>
            <sz val="9"/>
            <color indexed="81"/>
            <rFont val="Tahoma"/>
            <family val="2"/>
          </rPr>
          <t>ehbaker:</t>
        </r>
        <r>
          <rPr>
            <sz val="9"/>
            <color indexed="81"/>
            <rFont val="Tahoma"/>
            <family val="2"/>
          </rPr>
          <t xml:space="preserve">
This 0% matches the surface observed on 8/1/2013 of 6.17. Bad.</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ehbaker</author>
  </authors>
  <commentList>
    <comment ref="H1" authorId="0" shapeId="0" xr:uid="{59B1E7B4-F614-44C7-979F-15C932E09E54}">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 For Federal Sampler, report the deepest of samples taken (only one drive per sample).</t>
        </r>
      </text>
    </comment>
    <comment ref="H2" authorId="0" shapeId="0" xr:uid="{EEABF8EF-1224-4640-9055-D0ACE8D6BDBC}">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E8788F30-1FD1-436E-A6B0-A505CF13B2ED}">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3ACE3392-55C3-4450-9431-74B501D28694}">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3DA04DA1-445D-4E84-B924-F85785997B34}">
      <text>
        <r>
          <rPr>
            <sz val="8"/>
            <color indexed="81"/>
            <rFont val="Tahoma"/>
            <family val="2"/>
          </rPr>
          <t xml:space="preserve">Sipre coring auger=45.6cm2 
large tube 41.05 cm2       
small tube 25.6   cm2          
Snow Metrics 1000 cm^3
</t>
        </r>
      </text>
    </comment>
    <comment ref="A10" authorId="2" shapeId="0" xr:uid="{462F0617-CEFE-4F1A-941A-8B8E6182054E}">
      <text>
        <r>
          <rPr>
            <b/>
            <sz val="9"/>
            <color indexed="81"/>
            <rFont val="Tahoma"/>
            <family val="2"/>
          </rPr>
          <t>ehbaker:</t>
        </r>
        <r>
          <rPr>
            <sz val="9"/>
            <color indexed="81"/>
            <rFont val="Tahoma"/>
            <family val="2"/>
          </rPr>
          <t xml:space="preserve">
Depth of penetration into the snowpack of the Federal Sampler from the surface of the snowpack
</t>
        </r>
      </text>
    </comment>
    <comment ref="B10" authorId="2" shapeId="0" xr:uid="{153CE313-B9AB-46F5-88D9-A888AD9EBEF8}">
      <text>
        <r>
          <rPr>
            <b/>
            <sz val="9"/>
            <color indexed="81"/>
            <rFont val="Tahoma"/>
            <family val="2"/>
          </rPr>
          <t>ehbaker:</t>
        </r>
        <r>
          <rPr>
            <sz val="9"/>
            <color indexed="81"/>
            <rFont val="Tahoma"/>
            <family val="2"/>
          </rPr>
          <t xml:space="preserve">
Length of core recovered, as seen through the slotted sides of the Federal Sampler tube</t>
        </r>
      </text>
    </comment>
    <comment ref="C10" authorId="2" shapeId="0" xr:uid="{6135B84D-47D1-43B4-9CC8-476DC060F463}">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D10" authorId="2" shapeId="0" xr:uid="{C16FA37D-1529-4AB6-96A1-89FAB2497D4C}">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H10" authorId="0" shapeId="0" xr:uid="{19EA6A4A-8D90-495C-B4E2-F977DFC6D67D}">
      <text>
        <r>
          <rPr>
            <b/>
            <sz val="9"/>
            <color indexed="81"/>
            <rFont val="Tahoma"/>
            <family val="2"/>
          </rPr>
          <t>cmcneil:</t>
        </r>
        <r>
          <rPr>
            <sz val="9"/>
            <color indexed="81"/>
            <rFont val="Tahoma"/>
            <family val="2"/>
          </rPr>
          <t xml:space="preserve">
What was used to measure snow depth</t>
        </r>
      </text>
    </comment>
    <comment ref="I10" authorId="0" shapeId="0" xr:uid="{50ED94A5-20B2-4840-B791-36BDA7E486D4}">
      <text>
        <r>
          <rPr>
            <b/>
            <sz val="9"/>
            <color indexed="81"/>
            <rFont val="Tahoma"/>
            <family val="2"/>
          </rPr>
          <t>cmcneil:</t>
        </r>
        <r>
          <rPr>
            <sz val="9"/>
            <color indexed="81"/>
            <rFont val="Tahoma"/>
            <family val="2"/>
          </rPr>
          <t xml:space="preserve">
snow depth observed</t>
        </r>
      </text>
    </comment>
    <comment ref="O10" authorId="2" shapeId="0" xr:uid="{D3254F38-A3E6-4A55-B031-5081A0274F92}">
      <text>
        <r>
          <rPr>
            <b/>
            <sz val="9"/>
            <color indexed="81"/>
            <rFont val="Tahoma"/>
            <family val="2"/>
          </rPr>
          <t>ehbaker:</t>
        </r>
        <r>
          <rPr>
            <sz val="9"/>
            <color indexed="81"/>
            <rFont val="Tahoma"/>
            <family val="2"/>
          </rPr>
          <t xml:space="preserve">
Fraction of total snow depth sampled by density measurements. This is the maximum m% (some samples may cover less)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cmcneil</author>
  </authors>
  <commentList>
    <comment ref="H1" authorId="0" shapeId="0" xr:uid="{9707DDB9-D8EB-4B3A-981F-846B614F0478}">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 For Federal Sampler, report the deepest of samples taken (only one drive per sample).</t>
        </r>
      </text>
    </comment>
    <comment ref="H2" authorId="0" shapeId="0" xr:uid="{E70A9E75-79B0-476D-8A49-B2B07AA7EA87}">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09857444-48ED-479B-AD97-21B51ECBF54E}">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E29D4613-57A3-47A8-B821-DC2B4AA02FD6}">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GAAdmin</author>
    <author>Rob Burrows</author>
    <author>cmcneil</author>
    <author>ehbaker</author>
  </authors>
  <commentList>
    <comment ref="M2" authorId="0" shapeId="0" xr:uid="{67EB20F3-9950-4DE7-922E-B935721D153D}">
      <text>
        <r>
          <rPr>
            <b/>
            <sz val="8"/>
            <color indexed="81"/>
            <rFont val="Tahoma"/>
            <family val="2"/>
          </rPr>
          <t>GAAdmin:</t>
        </r>
        <r>
          <rPr>
            <sz val="8"/>
            <color indexed="81"/>
            <rFont val="Tahoma"/>
            <family val="2"/>
          </rPr>
          <t xml:space="preserve">
these losses are calculated based on changes in the summer surface height on the mass balance pole.  If the summer surface is lower than previous measurements then there is some sort of loss.  This loss could be either the loss of ice or the loss of Old Firn.</t>
        </r>
      </text>
    </comment>
    <comment ref="P2" authorId="0" shapeId="0" xr:uid="{41196840-234C-47BA-9E7F-AB545B7654EE}">
      <text>
        <r>
          <rPr>
            <sz val="8"/>
            <color indexed="81"/>
            <rFont val="Tahoma"/>
            <family val="2"/>
          </rPr>
          <t>This is the amount of snow that is above the summer surface.  The value should always be positive or zero.</t>
        </r>
      </text>
    </comment>
    <comment ref="A3" authorId="0" shapeId="0" xr:uid="{DFAB46D7-00D1-4C21-91C1-919ED523D839}">
      <text>
        <r>
          <rPr>
            <b/>
            <sz val="8"/>
            <color indexed="81"/>
            <rFont val="Tahoma"/>
            <family val="2"/>
          </rPr>
          <t>GAAdmin:</t>
        </r>
        <r>
          <rPr>
            <sz val="8"/>
            <color indexed="81"/>
            <rFont val="Tahoma"/>
            <family val="2"/>
          </rPr>
          <t xml:space="preserve">
The stake with which the observations were made.</t>
        </r>
      </text>
    </comment>
    <comment ref="B3" authorId="0" shapeId="0" xr:uid="{5C2C6DE8-8AB1-44BA-AE0B-1823EB42B8A6}">
      <text>
        <r>
          <rPr>
            <b/>
            <sz val="8"/>
            <color indexed="81"/>
            <rFont val="Tahoma"/>
            <family val="2"/>
          </rPr>
          <t>GAAdmin:</t>
        </r>
        <r>
          <rPr>
            <sz val="8"/>
            <color indexed="81"/>
            <rFont val="Tahoma"/>
            <family val="2"/>
          </rPr>
          <t xml:space="preserve">
Date of observations</t>
        </r>
      </text>
    </comment>
    <comment ref="C3" authorId="0" shapeId="0" xr:uid="{AEB9DC3E-C54B-474F-9CC8-2D4DD522E3ED}">
      <text>
        <r>
          <rPr>
            <b/>
            <sz val="8"/>
            <color indexed="81"/>
            <rFont val="Tahoma"/>
            <family val="2"/>
          </rPr>
          <t>GAAdmin:</t>
        </r>
        <r>
          <rPr>
            <sz val="8"/>
            <color indexed="81"/>
            <rFont val="Tahoma"/>
            <family val="2"/>
          </rPr>
          <t xml:space="preserve">
Stake reading is the height of the glacier's surface on the balance pole (stake) as measured from the very bottom of the pole.  This "Tape" reading is obtained by measuring the exposed portion of the stake and then subtracting this measurement from the total stake length from its very bottom.</t>
        </r>
      </text>
    </comment>
    <comment ref="D3" authorId="0" shapeId="0" xr:uid="{BA3B7554-EAD9-4EEB-8FE8-EBE2A89741DB}">
      <text>
        <r>
          <rPr>
            <b/>
            <sz val="8"/>
            <color indexed="81"/>
            <rFont val="Tahoma"/>
            <family val="2"/>
          </rPr>
          <t>GAAdmin:</t>
        </r>
        <r>
          <rPr>
            <sz val="8"/>
            <color indexed="81"/>
            <rFont val="Tahoma"/>
            <family val="2"/>
          </rPr>
          <t xml:space="preserve">
Stake reading obtained from surveys.  b** should be the most reliable.  A stake reading is the height of the glacier's surface along the balance pole as measured from the bottom.</t>
        </r>
      </text>
    </comment>
    <comment ref="F3" authorId="0" shapeId="0" xr:uid="{E8EAF2D6-A64D-42B3-A0DA-D2927F761C24}">
      <text>
        <r>
          <rPr>
            <sz val="8"/>
            <color indexed="81"/>
            <rFont val="Tahoma"/>
            <family val="2"/>
          </rPr>
          <t>Type of surface strata:
Glacier Ice, Snow, Superimposed Ice, Old Firn or New Firn.  For the Fall surveys this should be the surface strata beneath any fresh snow.</t>
        </r>
      </text>
    </comment>
    <comment ref="G3" authorId="0" shapeId="0" xr:uid="{6072A3A8-9ED9-4F72-B1C6-18E11345F0B6}">
      <text>
        <r>
          <rPr>
            <b/>
            <sz val="8"/>
            <color indexed="81"/>
            <rFont val="Tahoma"/>
            <family val="2"/>
          </rPr>
          <t>GAAdmin:</t>
        </r>
        <r>
          <rPr>
            <sz val="8"/>
            <color indexed="81"/>
            <rFont val="Tahoma"/>
            <family val="2"/>
          </rPr>
          <t xml:space="preserve">
Average depth of snow as determined in snow pit or depth at stake location.</t>
        </r>
      </text>
    </comment>
    <comment ref="H3" authorId="0" shapeId="0" xr:uid="{44F25D3B-BDC0-4045-ACDD-009889015D45}">
      <text>
        <r>
          <rPr>
            <b/>
            <sz val="8"/>
            <color indexed="81"/>
            <rFont val="Tahoma"/>
            <family val="2"/>
          </rPr>
          <t>GAAdmin:</t>
        </r>
        <r>
          <rPr>
            <sz val="8"/>
            <color indexed="81"/>
            <rFont val="Tahoma"/>
            <family val="2"/>
          </rPr>
          <t xml:space="preserve">
Average depth of snow from probing
</t>
        </r>
      </text>
    </comment>
    <comment ref="I3" authorId="0" shapeId="0" xr:uid="{DA7B9343-22FA-4274-82F5-D24BAD5B0301}">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K3" authorId="0" shapeId="0" xr:uid="{96227573-1060-439C-B106-1666546EF896}">
      <text>
        <r>
          <rPr>
            <b/>
            <sz val="8"/>
            <color indexed="81"/>
            <rFont val="Tahoma"/>
            <family val="2"/>
          </rPr>
          <t>GAAdmin:</t>
        </r>
        <r>
          <rPr>
            <sz val="8"/>
            <color indexed="81"/>
            <rFont val="Tahoma"/>
            <family val="2"/>
          </rPr>
          <t xml:space="preserve">
number of observations of snow depth</t>
        </r>
      </text>
    </comment>
    <comment ref="L3" authorId="0" shapeId="0" xr:uid="{299837FC-1F3F-409D-A638-7EA010AFB837}">
      <text>
        <r>
          <rPr>
            <sz val="8"/>
            <color indexed="81"/>
            <rFont val="Tahoma"/>
            <family val="2"/>
          </rPr>
          <t xml:space="preserve">Summer surface on the stake.  
In the </t>
        </r>
        <r>
          <rPr>
            <b/>
            <sz val="8"/>
            <color indexed="81"/>
            <rFont val="Tahoma"/>
            <family val="2"/>
          </rPr>
          <t>Spring</t>
        </r>
        <r>
          <rPr>
            <sz val="8"/>
            <color indexed="81"/>
            <rFont val="Tahoma"/>
            <family val="2"/>
          </rPr>
          <t xml:space="preserve"> this should be the lower of that determined by snow depth measurements AND b** from the previous year.
In the </t>
        </r>
        <r>
          <rPr>
            <b/>
            <sz val="8"/>
            <color indexed="81"/>
            <rFont val="Tahoma"/>
            <family val="2"/>
          </rPr>
          <t xml:space="preserve">Fall </t>
        </r>
        <r>
          <rPr>
            <sz val="8"/>
            <color indexed="81"/>
            <rFont val="Tahoma"/>
            <family val="2"/>
          </rPr>
          <t xml:space="preserve">this should be the stake reading minus the remaining snow pack or superimposed ice.  It should be close to the Spring measurement.  If it is less than the spring measurement then there was loss.  If it is more than the spring measurement then there is likely an error and the spring measurment should be used. </t>
        </r>
      </text>
    </comment>
    <comment ref="M3" authorId="0" shapeId="0" xr:uid="{40D29AA1-BCC0-4679-9F41-273E937A1045}">
      <text>
        <r>
          <rPr>
            <b/>
            <sz val="8"/>
            <color indexed="81"/>
            <rFont val="Tahoma"/>
            <family val="2"/>
          </rPr>
          <t>GAAdmin:</t>
        </r>
        <r>
          <rPr>
            <sz val="8"/>
            <color indexed="81"/>
            <rFont val="Tahoma"/>
            <family val="2"/>
          </rPr>
          <t xml:space="preserve">
This density is estimated and is based on the surface strata of the previous survey.</t>
        </r>
      </text>
    </comment>
    <comment ref="N3" authorId="0" shapeId="0" xr:uid="{E974956A-47E5-465A-A432-B2985AFF200D}">
      <text>
        <r>
          <rPr>
            <b/>
            <sz val="8"/>
            <color indexed="81"/>
            <rFont val="Tahoma"/>
            <family val="2"/>
          </rPr>
          <t>GAAdmin:</t>
        </r>
        <r>
          <rPr>
            <sz val="8"/>
            <color indexed="81"/>
            <rFont val="Tahoma"/>
            <family val="2"/>
          </rPr>
          <t xml:space="preserve">
This is the water equivalent in meters for the snow or ice along the length of the balance pole.  Taking the bottom of the pole to be zero, the the height the surface is on the pole (b'ss) is than converted to a water equivelent for this column using an estimated density.</t>
        </r>
      </text>
    </comment>
    <comment ref="O3" authorId="0" shapeId="0" xr:uid="{7DF3D5AF-B138-4366-8EDC-AD41BDD1F2BD}">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3" authorId="0" shapeId="0" xr:uid="{40F58E99-2AA7-4253-B5AB-4FC84A0C777B}">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3" authorId="0" shapeId="0" xr:uid="{068D136C-9E36-4DC7-88D3-55279A49C801}">
      <text>
        <r>
          <rPr>
            <sz val="8"/>
            <color indexed="81"/>
            <rFont val="Tahoma"/>
            <family val="2"/>
          </rPr>
          <t>Average density of the material above ss.</t>
        </r>
      </text>
    </comment>
    <comment ref="R3" authorId="0" shapeId="0" xr:uid="{09A1008A-267D-43DC-8E1D-4B854B890528}">
      <text>
        <r>
          <rPr>
            <b/>
            <sz val="8"/>
            <color indexed="81"/>
            <rFont val="Tahoma"/>
            <family val="2"/>
          </rPr>
          <t>GAAdmin:</t>
        </r>
        <r>
          <rPr>
            <sz val="8"/>
            <color indexed="81"/>
            <rFont val="Tahoma"/>
            <family val="2"/>
          </rPr>
          <t xml:space="preserve">
Is the Density Estimated (E) or is it Measured (M) ?</t>
        </r>
      </text>
    </comment>
    <comment ref="S3" authorId="0" shapeId="0" xr:uid="{81D04855-CDE0-4F3D-A35E-B9F1FFFFFC12}">
      <text>
        <r>
          <rPr>
            <sz val="8"/>
            <color indexed="81"/>
            <rFont val="Tahoma"/>
            <family val="2"/>
          </rPr>
          <t>This is a balance value based on accumulation of material primarily derived from "Snow".  This of course could also be New Firn, Superimposed Ice or Snow.  Hopefully the title of this column is not decieving.
In the Fall any remaining snow is then called New Firn.  Then in the fall or rather, for New Firn (Nfirn) the amount of water retained in the snow pack by capillary retention is subtracted.  This is 7% of the void space.  See Mayo's book page 40 for more explanation.</t>
        </r>
      </text>
    </comment>
    <comment ref="T3" authorId="0" shapeId="0" xr:uid="{C7E95FD4-B94B-4541-A8B2-1CDB33497465}">
      <text>
        <r>
          <rPr>
            <b/>
            <sz val="8"/>
            <color indexed="81"/>
            <rFont val="Tahoma"/>
            <family val="2"/>
          </rPr>
          <t>GAAdmin:</t>
        </r>
        <r>
          <rPr>
            <sz val="8"/>
            <color indexed="81"/>
            <rFont val="Tahoma"/>
            <family val="2"/>
          </rPr>
          <t xml:space="preserve">
This is the seasonal Net balance.  If the observation date is from Fall, this value is a Summer Balance.  If the observation data is from Spring, then it is the Winter Balance.
For </t>
        </r>
        <r>
          <rPr>
            <b/>
            <sz val="8"/>
            <color indexed="81"/>
            <rFont val="Tahoma"/>
            <family val="2"/>
          </rPr>
          <t>Spring</t>
        </r>
        <r>
          <rPr>
            <sz val="8"/>
            <color indexed="81"/>
            <rFont val="Tahoma"/>
            <family val="2"/>
          </rPr>
          <t xml:space="preserve">, this is the volume of water contained in the snow between the surface and the summer surface.
For </t>
        </r>
        <r>
          <rPr>
            <b/>
            <sz val="8"/>
            <color indexed="81"/>
            <rFont val="Tahoma"/>
            <family val="2"/>
          </rPr>
          <t>Fall</t>
        </r>
        <r>
          <rPr>
            <sz val="8"/>
            <color indexed="81"/>
            <rFont val="Tahoma"/>
            <family val="2"/>
          </rPr>
          <t xml:space="preserve">, this is the difference in the volume of water contained in the snow between the Fall and Spring.
Fall - Spring = Summer Balance.
This will be negative.  </t>
        </r>
      </text>
    </comment>
    <comment ref="L4" authorId="0" shapeId="0" xr:uid="{9DF02DC8-6706-4331-AEB6-FE55121CC9BA}">
      <text>
        <r>
          <rPr>
            <sz val="8"/>
            <color indexed="81"/>
            <rFont val="Tahoma"/>
            <family val="2"/>
          </rPr>
          <t xml:space="preserve">This is both calculated and measured.  What goes in this column is an average or the "best value".  This is done so that there is a check on the entered value.  Identifying the summer surface correctly is VERY important!  That is why there is a built in check.
</t>
        </r>
      </text>
    </comment>
    <comment ref="S4" authorId="0" shapeId="0" xr:uid="{AD8AEF5A-E89A-4AD1-BA19-F3E0D4C2D982}">
      <text/>
    </comment>
    <comment ref="J5" authorId="1" shapeId="0" xr:uid="{B7B6EA60-6B66-478C-A9B1-86AA616662AA}">
      <text>
        <r>
          <rPr>
            <b/>
            <sz val="9"/>
            <color indexed="81"/>
            <rFont val="Tahoma"/>
            <family val="2"/>
          </rPr>
          <t>Rob Burrows:</t>
        </r>
        <r>
          <rPr>
            <sz val="9"/>
            <color indexed="81"/>
            <rFont val="Tahoma"/>
            <family val="2"/>
          </rPr>
          <t xml:space="preserve">
This value should be close to zero in a negative balance year.  In positive balance years it should be close to the depth of firn retained (and compared to any probe or pit measurements)</t>
        </r>
      </text>
    </comment>
    <comment ref="Q6" authorId="1" shapeId="0" xr:uid="{7D055CFD-D3D4-47A9-9A57-9F43697B8494}">
      <text>
        <r>
          <rPr>
            <b/>
            <sz val="9"/>
            <color indexed="81"/>
            <rFont val="Tahoma"/>
            <family val="2"/>
          </rPr>
          <t>Rob Burrows:</t>
        </r>
        <r>
          <rPr>
            <sz val="9"/>
            <color indexed="81"/>
            <rFont val="Tahoma"/>
            <family val="2"/>
          </rPr>
          <t xml:space="preserve">
All Nfirn densities for 2013 as estimated from new firn measured on 8/21/14 at stake 17-B.</t>
        </r>
      </text>
    </comment>
    <comment ref="J11" authorId="1" shapeId="0" xr:uid="{F6F35851-47AE-4973-8C53-14A8D7B19998}">
      <text>
        <r>
          <rPr>
            <b/>
            <sz val="9"/>
            <color indexed="81"/>
            <rFont val="Tahoma"/>
            <family val="2"/>
          </rPr>
          <t>Rob Burrows:</t>
        </r>
        <r>
          <rPr>
            <sz val="9"/>
            <color indexed="81"/>
            <rFont val="Tahoma"/>
            <family val="2"/>
          </rPr>
          <t xml:space="preserve">
These values show that snow probing penetrated into the new firn by up to 1.36 m.  Will use the previous fall's b'ss instead for any calcs.</t>
        </r>
      </text>
    </comment>
    <comment ref="J16" authorId="1" shapeId="0" xr:uid="{2C2CCD70-6873-4889-8E0D-37AB5A04ED6B}">
      <text>
        <r>
          <rPr>
            <b/>
            <sz val="9"/>
            <color indexed="81"/>
            <rFont val="Tahoma"/>
            <family val="2"/>
          </rPr>
          <t>Rob Burrows:</t>
        </r>
        <r>
          <rPr>
            <sz val="9"/>
            <color indexed="81"/>
            <rFont val="Tahoma"/>
            <family val="2"/>
          </rPr>
          <t xml:space="preserve">
These values show that snow probing penetrated into the new firn by up to 0.80 m.  Will use the previous fall's b'ss instead for any calcs.</t>
        </r>
      </text>
    </comment>
    <comment ref="A24" authorId="0" shapeId="0" xr:uid="{8C689F04-3A89-4E1A-9A87-8F26A03229B0}">
      <text>
        <r>
          <rPr>
            <b/>
            <sz val="8"/>
            <color indexed="81"/>
            <rFont val="Tahoma"/>
            <family val="2"/>
          </rPr>
          <t>GAAdmin:</t>
        </r>
        <r>
          <rPr>
            <sz val="8"/>
            <color indexed="81"/>
            <rFont val="Tahoma"/>
            <family val="2"/>
          </rPr>
          <t xml:space="preserve">
The stake with which the observations were made.</t>
        </r>
      </text>
    </comment>
    <comment ref="B24" authorId="0" shapeId="0" xr:uid="{761E28BC-8554-4236-BBB8-0E680BA41780}">
      <text>
        <r>
          <rPr>
            <b/>
            <sz val="8"/>
            <color indexed="81"/>
            <rFont val="Tahoma"/>
            <family val="2"/>
          </rPr>
          <t>GAAdmin:</t>
        </r>
        <r>
          <rPr>
            <sz val="8"/>
            <color indexed="81"/>
            <rFont val="Tahoma"/>
            <family val="2"/>
          </rPr>
          <t xml:space="preserve">
Date of observations</t>
        </r>
      </text>
    </comment>
    <comment ref="C24" authorId="2" shapeId="0" xr:uid="{37846B9C-E0B4-4CA0-B2FA-F03B7CFD6153}">
      <text>
        <r>
          <rPr>
            <b/>
            <sz val="9"/>
            <color indexed="81"/>
            <rFont val="Tahoma"/>
            <family val="2"/>
          </rPr>
          <t>cmcneil:</t>
        </r>
        <r>
          <rPr>
            <sz val="9"/>
            <color indexed="81"/>
            <rFont val="Tahoma"/>
            <family val="2"/>
          </rPr>
          <t xml:space="preserve">
Total length of stake</t>
        </r>
      </text>
    </comment>
    <comment ref="D24" authorId="2" shapeId="0" xr:uid="{2A8BC0CD-6A64-463C-BB20-5683CDF46EA2}">
      <text>
        <r>
          <rPr>
            <b/>
            <sz val="9"/>
            <color indexed="81"/>
            <rFont val="Tahoma"/>
            <family val="2"/>
          </rPr>
          <t>cmcneil:</t>
        </r>
        <r>
          <rPr>
            <sz val="9"/>
            <color indexed="81"/>
            <rFont val="Tahoma"/>
            <family val="2"/>
          </rPr>
          <t xml:space="preserve">
Length of stake above the surface noted in column D</t>
        </r>
      </text>
    </comment>
    <comment ref="E24" authorId="2" shapeId="0" xr:uid="{1FE95A83-8D1F-48AB-A795-3A68EF711888}">
      <text>
        <r>
          <rPr>
            <b/>
            <sz val="9"/>
            <color indexed="81"/>
            <rFont val="Tahoma"/>
            <family val="2"/>
          </rPr>
          <t>cmcneil:</t>
        </r>
        <r>
          <rPr>
            <sz val="9"/>
            <color indexed="81"/>
            <rFont val="Tahoma"/>
            <family val="2"/>
          </rPr>
          <t xml:space="preserve">
Length of stake still below the surface noted in column D</t>
        </r>
      </text>
    </comment>
    <comment ref="F24" authorId="0" shapeId="0" xr:uid="{4ECEE618-F57D-4605-9494-6382EB1D5369}">
      <text>
        <r>
          <rPr>
            <sz val="8"/>
            <color indexed="81"/>
            <rFont val="Tahoma"/>
            <family val="2"/>
          </rPr>
          <t>Type of surface strata:
Glacier Ice, Snow, Superimposed Ice, Old Firn or New Firn.  For the Fall surveys this should be the surface strata beneath any fresh snow.</t>
        </r>
      </text>
    </comment>
    <comment ref="G24" authorId="0" shapeId="0" xr:uid="{0C810BC7-6FF7-433B-83E7-66A1DC347EC5}">
      <text>
        <r>
          <rPr>
            <b/>
            <sz val="8"/>
            <color indexed="81"/>
            <rFont val="Tahoma"/>
            <family val="2"/>
          </rPr>
          <t>GAAdmin:</t>
        </r>
        <r>
          <rPr>
            <sz val="8"/>
            <color indexed="81"/>
            <rFont val="Tahoma"/>
            <family val="2"/>
          </rPr>
          <t xml:space="preserve">
Average depth of snow as determined in snow pit.</t>
        </r>
      </text>
    </comment>
    <comment ref="H24" authorId="0" shapeId="0" xr:uid="{C7941BA2-E404-45DC-A3D4-2A88B3723348}">
      <text>
        <r>
          <rPr>
            <b/>
            <sz val="8"/>
            <color indexed="81"/>
            <rFont val="Tahoma"/>
            <family val="2"/>
          </rPr>
          <t>GAAdmin:</t>
        </r>
        <r>
          <rPr>
            <sz val="8"/>
            <color indexed="81"/>
            <rFont val="Tahoma"/>
            <family val="2"/>
          </rPr>
          <t xml:space="preserve">
Average depth of snow from probing
</t>
        </r>
      </text>
    </comment>
    <comment ref="I24" authorId="0" shapeId="0" xr:uid="{3BF072EC-4FA3-423D-8FAD-C5DC1DED9A00}">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24" authorId="0" shapeId="0" xr:uid="{D356C1E8-574A-4F7E-B1F6-06F3876F60A3}">
      <text>
        <r>
          <rPr>
            <b/>
            <sz val="8"/>
            <color indexed="81"/>
            <rFont val="Tahoma"/>
            <family val="2"/>
          </rPr>
          <t>GAAdmin:</t>
        </r>
        <r>
          <rPr>
            <sz val="8"/>
            <color indexed="81"/>
            <rFont val="Tahoma"/>
            <family val="2"/>
          </rPr>
          <t xml:space="preserve">
Standard Error</t>
        </r>
      </text>
    </comment>
    <comment ref="K24" authorId="0" shapeId="0" xr:uid="{436E3A45-90C0-43A1-BD00-4B8AA6754FD8}">
      <text>
        <r>
          <rPr>
            <b/>
            <sz val="8"/>
            <color indexed="81"/>
            <rFont val="Tahoma"/>
            <family val="2"/>
          </rPr>
          <t>GAAdmin:</t>
        </r>
        <r>
          <rPr>
            <sz val="8"/>
            <color indexed="81"/>
            <rFont val="Tahoma"/>
            <family val="2"/>
          </rPr>
          <t xml:space="preserve">
number of observations of snow depth</t>
        </r>
      </text>
    </comment>
    <comment ref="M24" authorId="0" shapeId="0" xr:uid="{EE26EC52-CFCA-46AF-BF3F-B160223FCF21}">
      <text>
        <r>
          <rPr>
            <b/>
            <sz val="8"/>
            <color indexed="81"/>
            <rFont val="Tahoma"/>
            <family val="2"/>
          </rPr>
          <t>GAAdmin:</t>
        </r>
        <r>
          <rPr>
            <sz val="8"/>
            <color indexed="81"/>
            <rFont val="Tahoma"/>
            <family val="2"/>
          </rPr>
          <t xml:space="preserve">
This density is estimated and is based on the surface strata of the previous survey.</t>
        </r>
      </text>
    </comment>
    <comment ref="O24" authorId="0" shapeId="0" xr:uid="{7CCFD5CD-B81D-45AE-84BA-4231E6EE8348}">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24" authorId="0" shapeId="0" xr:uid="{5FBEAAA5-78B9-4C25-8B22-D69FF2DCFA3F}">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24" authorId="0" shapeId="0" xr:uid="{518B9F37-2C03-4112-B7FB-17F08EC2E7EE}">
      <text>
        <r>
          <rPr>
            <sz val="8"/>
            <color indexed="81"/>
            <rFont val="Tahoma"/>
            <family val="2"/>
          </rPr>
          <t>Average density of the material above ss.</t>
        </r>
      </text>
    </comment>
    <comment ref="S24" authorId="3" shapeId="0" xr:uid="{488D3D25-C888-4761-9A5D-D0AAEC752B22}">
      <text>
        <r>
          <rPr>
            <b/>
            <sz val="9"/>
            <color indexed="81"/>
            <rFont val="Tahoma"/>
            <family val="2"/>
          </rPr>
          <t xml:space="preserve">ehbaker:
</t>
        </r>
        <r>
          <rPr>
            <sz val="9"/>
            <color indexed="81"/>
            <rFont val="Tahoma"/>
            <family val="2"/>
          </rPr>
          <t>maximum fraction of snowpack captured by measured density.</t>
        </r>
      </text>
    </comment>
    <comment ref="T24" authorId="2" shapeId="0" xr:uid="{06A0F9AB-FCC1-40C7-A875-A797BB99A4BA}">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U24" authorId="2" shapeId="0" xr:uid="{0D3EA1CF-34B2-4708-BD72-BCA7266775ED}">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V24" authorId="2" shapeId="0" xr:uid="{6A9ADEE3-9CC0-4193-B088-E8FF7678225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W24" authorId="2" shapeId="0" xr:uid="{FD8EB7A8-9294-404A-A93E-6D8B6120F7C6}">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X24" authorId="2" shapeId="0" xr:uid="{C265CFD6-48F3-489A-9D4A-72AC9BA6188D}">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Q27" authorId="3" shapeId="0" xr:uid="{5BB13B38-8E00-415C-82BA-2DA00FA502EB}">
      <text>
        <r>
          <rPr>
            <b/>
            <sz val="9"/>
            <color indexed="81"/>
            <rFont val="Tahoma"/>
            <family val="2"/>
          </rPr>
          <t>ehbaker:</t>
        </r>
        <r>
          <rPr>
            <sz val="9"/>
            <color indexed="81"/>
            <rFont val="Tahoma"/>
            <family val="2"/>
          </rPr>
          <t xml:space="preserve">
assumed density for spring bulk density</t>
        </r>
      </text>
    </comment>
    <comment ref="Q28" authorId="3" shapeId="0" xr:uid="{DC36318D-B762-42FE-A003-03277F96B49B}">
      <text>
        <r>
          <rPr>
            <b/>
            <sz val="9"/>
            <color indexed="81"/>
            <rFont val="Tahoma"/>
            <family val="2"/>
          </rPr>
          <t>ehbaker:</t>
        </r>
        <r>
          <rPr>
            <sz val="9"/>
            <color indexed="81"/>
            <rFont val="Tahoma"/>
            <family val="2"/>
          </rPr>
          <t xml:space="preserve">
</t>
        </r>
      </text>
    </comment>
    <comment ref="F30" authorId="3" shapeId="0" xr:uid="{F0C9E769-D2BE-4E53-B937-8017C1BFA671}">
      <text>
        <r>
          <rPr>
            <b/>
            <sz val="9"/>
            <color indexed="81"/>
            <rFont val="Tahoma"/>
            <family val="2"/>
          </rPr>
          <t>ehbaker:</t>
        </r>
        <r>
          <rPr>
            <sz val="9"/>
            <color indexed="81"/>
            <rFont val="Tahoma"/>
            <family val="2"/>
          </rPr>
          <t xml:space="preserve">
excel data entry sheet says snow; database says new firn. No field notes..</t>
        </r>
      </text>
    </comment>
    <comment ref="Q30" authorId="3" shapeId="0" xr:uid="{D875EDEB-1493-42B6-8733-262032EDC1DB}">
      <text>
        <r>
          <rPr>
            <b/>
            <sz val="9"/>
            <color indexed="81"/>
            <rFont val="Tahoma"/>
            <family val="2"/>
          </rPr>
          <t>ehbaker:</t>
        </r>
        <r>
          <rPr>
            <sz val="9"/>
            <color indexed="81"/>
            <rFont val="Tahoma"/>
            <family val="2"/>
          </rPr>
          <t xml:space="preserve">
assumed density of new firn; density of fall 2014 firn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GAAdmin</author>
    <author>Rob Burrows</author>
    <author>cmcneil</author>
    <author>ehbaker</author>
  </authors>
  <commentList>
    <comment ref="M2" authorId="0" shapeId="0" xr:uid="{6A0676FF-28D9-44EE-A392-5537CD2290AD}">
      <text>
        <r>
          <rPr>
            <b/>
            <sz val="8"/>
            <color indexed="81"/>
            <rFont val="Tahoma"/>
            <family val="2"/>
          </rPr>
          <t>GAAdmin:</t>
        </r>
        <r>
          <rPr>
            <sz val="8"/>
            <color indexed="81"/>
            <rFont val="Tahoma"/>
            <family val="2"/>
          </rPr>
          <t xml:space="preserve">
these losses are calculated based on changes in the summer surface height on the mass balance pole.  If the summer surface is lower than previous measurements then there is some sort of loss.  This loss could be either the loss of ice or the loss of Old Firn.</t>
        </r>
      </text>
    </comment>
    <comment ref="P2" authorId="0" shapeId="0" xr:uid="{3022A1E5-439C-4688-92C8-5C73A6CA1FB9}">
      <text>
        <r>
          <rPr>
            <sz val="8"/>
            <color indexed="81"/>
            <rFont val="Tahoma"/>
            <family val="2"/>
          </rPr>
          <t>This is the amount of snow that is above the summer surface.  The value should always be positive or zero.</t>
        </r>
      </text>
    </comment>
    <comment ref="A3" authorId="0" shapeId="0" xr:uid="{C359D082-3D10-47E0-9B8B-E2856E7F49CA}">
      <text>
        <r>
          <rPr>
            <b/>
            <sz val="8"/>
            <color indexed="81"/>
            <rFont val="Tahoma"/>
            <family val="2"/>
          </rPr>
          <t>GAAdmin:</t>
        </r>
        <r>
          <rPr>
            <sz val="8"/>
            <color indexed="81"/>
            <rFont val="Tahoma"/>
            <family val="2"/>
          </rPr>
          <t xml:space="preserve">
The stake with which the observations were made.</t>
        </r>
      </text>
    </comment>
    <comment ref="B3" authorId="0" shapeId="0" xr:uid="{ECB0F6D0-D312-467F-AC3D-0461EDD777E8}">
      <text>
        <r>
          <rPr>
            <b/>
            <sz val="8"/>
            <color indexed="81"/>
            <rFont val="Tahoma"/>
            <family val="2"/>
          </rPr>
          <t>GAAdmin:</t>
        </r>
        <r>
          <rPr>
            <sz val="8"/>
            <color indexed="81"/>
            <rFont val="Tahoma"/>
            <family val="2"/>
          </rPr>
          <t xml:space="preserve">
Date of observations</t>
        </r>
      </text>
    </comment>
    <comment ref="C3" authorId="0" shapeId="0" xr:uid="{25960287-1EA9-464F-87B7-74C57E7D834E}">
      <text>
        <r>
          <rPr>
            <b/>
            <sz val="8"/>
            <color indexed="81"/>
            <rFont val="Tahoma"/>
            <family val="2"/>
          </rPr>
          <t>GAAdmin:</t>
        </r>
        <r>
          <rPr>
            <sz val="8"/>
            <color indexed="81"/>
            <rFont val="Tahoma"/>
            <family val="2"/>
          </rPr>
          <t xml:space="preserve">
Stake reading is the height of the glacier's surface on the balance pole (stake) as measured from the very bottom of the pole.  This "Tape" reading is obtained by measuring the exposed portion of the stake and then subtracting this measurement from the total stake length from its very bottom.</t>
        </r>
      </text>
    </comment>
    <comment ref="D3" authorId="0" shapeId="0" xr:uid="{8F026EE3-BCFD-4971-9EC6-799D9C625CE8}">
      <text>
        <r>
          <rPr>
            <b/>
            <sz val="8"/>
            <color indexed="81"/>
            <rFont val="Tahoma"/>
            <family val="2"/>
          </rPr>
          <t>GAAdmin:</t>
        </r>
        <r>
          <rPr>
            <sz val="8"/>
            <color indexed="81"/>
            <rFont val="Tahoma"/>
            <family val="2"/>
          </rPr>
          <t xml:space="preserve">
Stake reading obtained from surveys.  b** should be the most reliable.  A stake reading is the height of the glacier's surface along the balance pole as measured from the bottom.</t>
        </r>
      </text>
    </comment>
    <comment ref="F3" authorId="0" shapeId="0" xr:uid="{2E9B2941-D3BF-47C5-8A66-E9BC3875CEF9}">
      <text>
        <r>
          <rPr>
            <sz val="8"/>
            <color indexed="81"/>
            <rFont val="Tahoma"/>
            <family val="2"/>
          </rPr>
          <t>Type of surface strata:
Glacier Ice, Snow, Superimposed Ice, Old Firn or New Firn.  For the Fall surveys this should be the surface strata beneath any fresh snow.</t>
        </r>
      </text>
    </comment>
    <comment ref="G3" authorId="0" shapeId="0" xr:uid="{FE262F7C-BBDD-4331-8430-B0A13EFE9928}">
      <text>
        <r>
          <rPr>
            <b/>
            <sz val="8"/>
            <color indexed="81"/>
            <rFont val="Tahoma"/>
            <family val="2"/>
          </rPr>
          <t>GAAdmin:</t>
        </r>
        <r>
          <rPr>
            <sz val="8"/>
            <color indexed="81"/>
            <rFont val="Tahoma"/>
            <family val="2"/>
          </rPr>
          <t xml:space="preserve">
Average depth of snow as determined in snow pit or depth at stake location.</t>
        </r>
      </text>
    </comment>
    <comment ref="H3" authorId="0" shapeId="0" xr:uid="{8856BC59-42DA-45BC-BE18-58954C091E10}">
      <text>
        <r>
          <rPr>
            <b/>
            <sz val="8"/>
            <color indexed="81"/>
            <rFont val="Tahoma"/>
            <family val="2"/>
          </rPr>
          <t>GAAdmin:</t>
        </r>
        <r>
          <rPr>
            <sz val="8"/>
            <color indexed="81"/>
            <rFont val="Tahoma"/>
            <family val="2"/>
          </rPr>
          <t xml:space="preserve">
Average depth of snow from probing
</t>
        </r>
      </text>
    </comment>
    <comment ref="I3" authorId="0" shapeId="0" xr:uid="{B95842C4-A7F6-491E-AA7E-E78BF9685842}">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K3" authorId="0" shapeId="0" xr:uid="{12058E13-8E6D-4F07-9C05-798FC4465378}">
      <text>
        <r>
          <rPr>
            <b/>
            <sz val="8"/>
            <color indexed="81"/>
            <rFont val="Tahoma"/>
            <family val="2"/>
          </rPr>
          <t>GAAdmin:</t>
        </r>
        <r>
          <rPr>
            <sz val="8"/>
            <color indexed="81"/>
            <rFont val="Tahoma"/>
            <family val="2"/>
          </rPr>
          <t xml:space="preserve">
number of observations of snow depth</t>
        </r>
      </text>
    </comment>
    <comment ref="L3" authorId="0" shapeId="0" xr:uid="{2A048322-DAA4-4A96-93A1-E9D0A862B88E}">
      <text>
        <r>
          <rPr>
            <sz val="8"/>
            <color indexed="81"/>
            <rFont val="Tahoma"/>
            <family val="2"/>
          </rPr>
          <t xml:space="preserve">Summer surface on the stake.  
In the </t>
        </r>
        <r>
          <rPr>
            <b/>
            <sz val="8"/>
            <color indexed="81"/>
            <rFont val="Tahoma"/>
            <family val="2"/>
          </rPr>
          <t>Spring</t>
        </r>
        <r>
          <rPr>
            <sz val="8"/>
            <color indexed="81"/>
            <rFont val="Tahoma"/>
            <family val="2"/>
          </rPr>
          <t xml:space="preserve"> this should be the lower of that determined by snow depth measurements AND b** from the previous year.
In the </t>
        </r>
        <r>
          <rPr>
            <b/>
            <sz val="8"/>
            <color indexed="81"/>
            <rFont val="Tahoma"/>
            <family val="2"/>
          </rPr>
          <t xml:space="preserve">Fall </t>
        </r>
        <r>
          <rPr>
            <sz val="8"/>
            <color indexed="81"/>
            <rFont val="Tahoma"/>
            <family val="2"/>
          </rPr>
          <t xml:space="preserve">this should be the stake reading minus the remaining snow pack or superimposed ice.  It should be close to the Spring measurement.  If it is less than the spring measurement then there was loss.  If it is more than the spring measurement then there is likely an error and the spring measurment should be used. </t>
        </r>
      </text>
    </comment>
    <comment ref="M3" authorId="0" shapeId="0" xr:uid="{9B3207FC-896A-4867-AE85-92CB3F84D15A}">
      <text>
        <r>
          <rPr>
            <b/>
            <sz val="8"/>
            <color indexed="81"/>
            <rFont val="Tahoma"/>
            <family val="2"/>
          </rPr>
          <t>GAAdmin:</t>
        </r>
        <r>
          <rPr>
            <sz val="8"/>
            <color indexed="81"/>
            <rFont val="Tahoma"/>
            <family val="2"/>
          </rPr>
          <t xml:space="preserve">
This density is estimated and is based on the surface strata of the previous survey.</t>
        </r>
      </text>
    </comment>
    <comment ref="N3" authorId="0" shapeId="0" xr:uid="{EA79E857-6468-41E5-87F8-AB9FE9019A24}">
      <text>
        <r>
          <rPr>
            <b/>
            <sz val="8"/>
            <color indexed="81"/>
            <rFont val="Tahoma"/>
            <family val="2"/>
          </rPr>
          <t>GAAdmin:</t>
        </r>
        <r>
          <rPr>
            <sz val="8"/>
            <color indexed="81"/>
            <rFont val="Tahoma"/>
            <family val="2"/>
          </rPr>
          <t xml:space="preserve">
This is the water equivalent in meters for the snow or ice along the length of the balance pole.  Taking the bottom of the pole to be zero, the the height the surface is on the pole (b'ss) is than converted to a water equivelent for this column using an estimated density.</t>
        </r>
      </text>
    </comment>
    <comment ref="O3" authorId="0" shapeId="0" xr:uid="{A17D7D31-9C34-4C45-9A63-4258D3FCA23F}">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3" authorId="0" shapeId="0" xr:uid="{4BC3CD5B-3F44-45E2-BE4B-D866740B84BA}">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3" authorId="0" shapeId="0" xr:uid="{9AE2BC09-9F92-4CEE-9543-4BFBFE3DDA40}">
      <text>
        <r>
          <rPr>
            <sz val="8"/>
            <color indexed="81"/>
            <rFont val="Tahoma"/>
            <family val="2"/>
          </rPr>
          <t>Average density of the material above ss.</t>
        </r>
      </text>
    </comment>
    <comment ref="R3" authorId="0" shapeId="0" xr:uid="{782F4059-E567-4ACA-8641-6C7C5822E3CC}">
      <text>
        <r>
          <rPr>
            <b/>
            <sz val="8"/>
            <color indexed="81"/>
            <rFont val="Tahoma"/>
            <family val="2"/>
          </rPr>
          <t>GAAdmin:</t>
        </r>
        <r>
          <rPr>
            <sz val="8"/>
            <color indexed="81"/>
            <rFont val="Tahoma"/>
            <family val="2"/>
          </rPr>
          <t xml:space="preserve">
Is the Density Estimated (E) or is it Measured (M) ?</t>
        </r>
      </text>
    </comment>
    <comment ref="S3" authorId="0" shapeId="0" xr:uid="{FD943D10-127B-4A33-8BDA-6EDFBB871498}">
      <text>
        <r>
          <rPr>
            <sz val="8"/>
            <color indexed="81"/>
            <rFont val="Tahoma"/>
            <family val="2"/>
          </rPr>
          <t>This is a balance value based on accumulation of material primarily derived from "Snow".  This of course could also be New Firn, Superimposed Ice or Snow.  Hopefully the title of this column is not decieving.
In the Fall any remaining snow is then called New Firn.  Then in the fall or rather, for New Firn (Nfirn) the amount of water retained in the snow pack by capillary retention is subtracted.  This is 7% of the void space.  See Mayo's book page 40 for more explanation.</t>
        </r>
      </text>
    </comment>
    <comment ref="T3" authorId="0" shapeId="0" xr:uid="{0FA10F5A-59F2-442F-B477-F3F77DB26651}">
      <text>
        <r>
          <rPr>
            <b/>
            <sz val="8"/>
            <color indexed="81"/>
            <rFont val="Tahoma"/>
            <family val="2"/>
          </rPr>
          <t>GAAdmin:</t>
        </r>
        <r>
          <rPr>
            <sz val="8"/>
            <color indexed="81"/>
            <rFont val="Tahoma"/>
            <family val="2"/>
          </rPr>
          <t xml:space="preserve">
This is the seasonal Net balance.  If the observation date is from Fall, this value is a Summer Balance.  If the observation data is from Spring, then it is the Winter Balance.
For </t>
        </r>
        <r>
          <rPr>
            <b/>
            <sz val="8"/>
            <color indexed="81"/>
            <rFont val="Tahoma"/>
            <family val="2"/>
          </rPr>
          <t>Spring</t>
        </r>
        <r>
          <rPr>
            <sz val="8"/>
            <color indexed="81"/>
            <rFont val="Tahoma"/>
            <family val="2"/>
          </rPr>
          <t xml:space="preserve">, this is the volume of water contained in the snow between the surface and the summer surface.
For </t>
        </r>
        <r>
          <rPr>
            <b/>
            <sz val="8"/>
            <color indexed="81"/>
            <rFont val="Tahoma"/>
            <family val="2"/>
          </rPr>
          <t>Fall</t>
        </r>
        <r>
          <rPr>
            <sz val="8"/>
            <color indexed="81"/>
            <rFont val="Tahoma"/>
            <family val="2"/>
          </rPr>
          <t xml:space="preserve">, this is the difference in the volume of water contained in the snow between the Fall and Spring.
Fall - Spring = Summer Balance.
This will be negative.  </t>
        </r>
      </text>
    </comment>
    <comment ref="L4" authorId="0" shapeId="0" xr:uid="{B28404AC-9243-4CC6-A418-52DE47D151F7}">
      <text>
        <r>
          <rPr>
            <sz val="8"/>
            <color indexed="81"/>
            <rFont val="Tahoma"/>
            <family val="2"/>
          </rPr>
          <t xml:space="preserve">This is both calculated and measured.  What goes in this column is an average or the "best value".  This is done so that there is a check on the entered value.  Identifying the summer surface correctly is VERY important!  That is why there is a built in check.
</t>
        </r>
      </text>
    </comment>
    <comment ref="S4" authorId="0" shapeId="0" xr:uid="{E9C58B8D-EE18-4F76-81DB-FA0D1823027E}">
      <text/>
    </comment>
    <comment ref="J5" authorId="1" shapeId="0" xr:uid="{49840150-E717-4FB9-ACDF-EC8DDCDB2C48}">
      <text>
        <r>
          <rPr>
            <b/>
            <sz val="9"/>
            <color indexed="81"/>
            <rFont val="Tahoma"/>
            <family val="2"/>
          </rPr>
          <t>Rob Burrows:</t>
        </r>
        <r>
          <rPr>
            <sz val="9"/>
            <color indexed="81"/>
            <rFont val="Tahoma"/>
            <family val="2"/>
          </rPr>
          <t xml:space="preserve">
This value should be close to zero in a negative balance year.  In positive balance years it should be close to the depth of firn retained (and compared to any probe or pit measurements)</t>
        </r>
      </text>
    </comment>
    <comment ref="Q6" authorId="1" shapeId="0" xr:uid="{B7A42EF9-F138-4F67-B75B-72A6D7EDA8B2}">
      <text>
        <r>
          <rPr>
            <b/>
            <sz val="9"/>
            <color indexed="81"/>
            <rFont val="Tahoma"/>
            <family val="2"/>
          </rPr>
          <t>Rob Burrows:</t>
        </r>
        <r>
          <rPr>
            <sz val="9"/>
            <color indexed="81"/>
            <rFont val="Tahoma"/>
            <family val="2"/>
          </rPr>
          <t xml:space="preserve">
All Nfirn densities for 2013 as estimated from new firn measured on 8/21/14 at stake 17-B.</t>
        </r>
      </text>
    </comment>
    <comment ref="J11" authorId="1" shapeId="0" xr:uid="{F65A98EE-2988-4B37-A43D-EF1B18CEFD51}">
      <text>
        <r>
          <rPr>
            <b/>
            <sz val="9"/>
            <color indexed="81"/>
            <rFont val="Tahoma"/>
            <family val="2"/>
          </rPr>
          <t>Rob Burrows:</t>
        </r>
        <r>
          <rPr>
            <sz val="9"/>
            <color indexed="81"/>
            <rFont val="Tahoma"/>
            <family val="2"/>
          </rPr>
          <t xml:space="preserve">
These values show that snow probing penetrated into the new firn by up to 1.36 m.  Will use the previous fall's b'ss instead for any calcs.</t>
        </r>
      </text>
    </comment>
    <comment ref="J16" authorId="1" shapeId="0" xr:uid="{1949F756-BC4B-44DF-BE1C-91662377F65F}">
      <text>
        <r>
          <rPr>
            <b/>
            <sz val="9"/>
            <color indexed="81"/>
            <rFont val="Tahoma"/>
            <family val="2"/>
          </rPr>
          <t>Rob Burrows:</t>
        </r>
        <r>
          <rPr>
            <sz val="9"/>
            <color indexed="81"/>
            <rFont val="Tahoma"/>
            <family val="2"/>
          </rPr>
          <t xml:space="preserve">
These values show that snow probing penetrated into the new firn by up to 0.80 m.  Will use the previous fall's b'ss instead for any calcs.</t>
        </r>
      </text>
    </comment>
    <comment ref="A24" authorId="0" shapeId="0" xr:uid="{33723380-3359-43FD-A30C-828DF5DC80C4}">
      <text>
        <r>
          <rPr>
            <b/>
            <sz val="8"/>
            <color indexed="81"/>
            <rFont val="Tahoma"/>
            <family val="2"/>
          </rPr>
          <t>GAAdmin:</t>
        </r>
        <r>
          <rPr>
            <sz val="8"/>
            <color indexed="81"/>
            <rFont val="Tahoma"/>
            <family val="2"/>
          </rPr>
          <t xml:space="preserve">
The stake with which the observations were made.</t>
        </r>
      </text>
    </comment>
    <comment ref="B24" authorId="0" shapeId="0" xr:uid="{C3582CD7-FAD8-40E9-A5FB-9A73D4FB77ED}">
      <text>
        <r>
          <rPr>
            <b/>
            <sz val="8"/>
            <color indexed="81"/>
            <rFont val="Tahoma"/>
            <family val="2"/>
          </rPr>
          <t>GAAdmin:</t>
        </r>
        <r>
          <rPr>
            <sz val="8"/>
            <color indexed="81"/>
            <rFont val="Tahoma"/>
            <family val="2"/>
          </rPr>
          <t xml:space="preserve">
Date of observations</t>
        </r>
      </text>
    </comment>
    <comment ref="C24" authorId="2" shapeId="0" xr:uid="{B19364C2-2511-4BF2-8766-D46FF0723136}">
      <text>
        <r>
          <rPr>
            <b/>
            <sz val="9"/>
            <color indexed="81"/>
            <rFont val="Tahoma"/>
            <family val="2"/>
          </rPr>
          <t>cmcneil:</t>
        </r>
        <r>
          <rPr>
            <sz val="9"/>
            <color indexed="81"/>
            <rFont val="Tahoma"/>
            <family val="2"/>
          </rPr>
          <t xml:space="preserve">
Total length of stake</t>
        </r>
      </text>
    </comment>
    <comment ref="D24" authorId="2" shapeId="0" xr:uid="{163C7A02-B88B-4F0D-A488-59CA7A0A41FD}">
      <text>
        <r>
          <rPr>
            <b/>
            <sz val="9"/>
            <color indexed="81"/>
            <rFont val="Tahoma"/>
            <family val="2"/>
          </rPr>
          <t>cmcneil:</t>
        </r>
        <r>
          <rPr>
            <sz val="9"/>
            <color indexed="81"/>
            <rFont val="Tahoma"/>
            <family val="2"/>
          </rPr>
          <t xml:space="preserve">
Length of stake above the surface noted in column D</t>
        </r>
      </text>
    </comment>
    <comment ref="E24" authorId="2" shapeId="0" xr:uid="{EEB05C58-08FB-4900-B308-0BE04007C94F}">
      <text>
        <r>
          <rPr>
            <b/>
            <sz val="9"/>
            <color indexed="81"/>
            <rFont val="Tahoma"/>
            <family val="2"/>
          </rPr>
          <t>cmcneil:</t>
        </r>
        <r>
          <rPr>
            <sz val="9"/>
            <color indexed="81"/>
            <rFont val="Tahoma"/>
            <family val="2"/>
          </rPr>
          <t xml:space="preserve">
Length of stake still below the surface noted in column D</t>
        </r>
      </text>
    </comment>
    <comment ref="F24" authorId="0" shapeId="0" xr:uid="{425D4B4C-CF82-4D7E-9E4C-9A1148A1D6E0}">
      <text>
        <r>
          <rPr>
            <sz val="8"/>
            <color indexed="81"/>
            <rFont val="Tahoma"/>
            <family val="2"/>
          </rPr>
          <t>Type of surface strata:
Glacier Ice, Snow, Superimposed Ice, Old Firn or New Firn.  For the Fall surveys this should be the surface strata beneath any fresh snow.</t>
        </r>
      </text>
    </comment>
    <comment ref="G24" authorId="0" shapeId="0" xr:uid="{24658DAC-6110-4EA4-9B4F-846797AC1540}">
      <text>
        <r>
          <rPr>
            <b/>
            <sz val="8"/>
            <color indexed="81"/>
            <rFont val="Tahoma"/>
            <family val="2"/>
          </rPr>
          <t>GAAdmin:</t>
        </r>
        <r>
          <rPr>
            <sz val="8"/>
            <color indexed="81"/>
            <rFont val="Tahoma"/>
            <family val="2"/>
          </rPr>
          <t xml:space="preserve">
Average depth of snow as determined in snow pit.</t>
        </r>
      </text>
    </comment>
    <comment ref="H24" authorId="0" shapeId="0" xr:uid="{D4DEBBE3-F58E-4CB0-B1DB-031DA3565E98}">
      <text>
        <r>
          <rPr>
            <b/>
            <sz val="8"/>
            <color indexed="81"/>
            <rFont val="Tahoma"/>
            <family val="2"/>
          </rPr>
          <t>GAAdmin:</t>
        </r>
        <r>
          <rPr>
            <sz val="8"/>
            <color indexed="81"/>
            <rFont val="Tahoma"/>
            <family val="2"/>
          </rPr>
          <t xml:space="preserve">
Average depth of snow from probing
</t>
        </r>
      </text>
    </comment>
    <comment ref="I24" authorId="0" shapeId="0" xr:uid="{D873617C-5109-438B-B45C-A663E7A16651}">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24" authorId="0" shapeId="0" xr:uid="{44AF2ED9-9764-40D4-A244-5509B4E9ACD7}">
      <text>
        <r>
          <rPr>
            <b/>
            <sz val="8"/>
            <color indexed="81"/>
            <rFont val="Tahoma"/>
            <family val="2"/>
          </rPr>
          <t>GAAdmin:</t>
        </r>
        <r>
          <rPr>
            <sz val="8"/>
            <color indexed="81"/>
            <rFont val="Tahoma"/>
            <family val="2"/>
          </rPr>
          <t xml:space="preserve">
Standard Error</t>
        </r>
      </text>
    </comment>
    <comment ref="K24" authorId="0" shapeId="0" xr:uid="{1E38D1CF-6B6C-4058-A228-2DEBBDBB7916}">
      <text>
        <r>
          <rPr>
            <b/>
            <sz val="8"/>
            <color indexed="81"/>
            <rFont val="Tahoma"/>
            <family val="2"/>
          </rPr>
          <t>GAAdmin:</t>
        </r>
        <r>
          <rPr>
            <sz val="8"/>
            <color indexed="81"/>
            <rFont val="Tahoma"/>
            <family val="2"/>
          </rPr>
          <t xml:space="preserve">
number of observations of snow depth</t>
        </r>
      </text>
    </comment>
    <comment ref="M24" authorId="0" shapeId="0" xr:uid="{5A2B97A3-5B29-4A17-8922-629C39B93505}">
      <text>
        <r>
          <rPr>
            <b/>
            <sz val="8"/>
            <color indexed="81"/>
            <rFont val="Tahoma"/>
            <family val="2"/>
          </rPr>
          <t>GAAdmin:</t>
        </r>
        <r>
          <rPr>
            <sz val="8"/>
            <color indexed="81"/>
            <rFont val="Tahoma"/>
            <family val="2"/>
          </rPr>
          <t xml:space="preserve">
This density is estimated and is based on the surface strata of the previous survey.</t>
        </r>
      </text>
    </comment>
    <comment ref="O24" authorId="0" shapeId="0" xr:uid="{51872CBB-4337-42CF-87E2-50E69EF9FA9D}">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24" authorId="0" shapeId="0" xr:uid="{18D57FA7-3B9A-45CE-87C9-4FFD53893607}">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24" authorId="0" shapeId="0" xr:uid="{395A3122-B463-476F-9F82-41D028685B04}">
      <text>
        <r>
          <rPr>
            <sz val="8"/>
            <color indexed="81"/>
            <rFont val="Tahoma"/>
            <family val="2"/>
          </rPr>
          <t>Average density of the material above ss.</t>
        </r>
      </text>
    </comment>
    <comment ref="S24" authorId="3" shapeId="0" xr:uid="{EB44FB56-18BF-412A-81D8-D62E37246017}">
      <text>
        <r>
          <rPr>
            <b/>
            <sz val="9"/>
            <color indexed="81"/>
            <rFont val="Tahoma"/>
            <family val="2"/>
          </rPr>
          <t xml:space="preserve">ehbaker:
</t>
        </r>
        <r>
          <rPr>
            <sz val="9"/>
            <color indexed="81"/>
            <rFont val="Tahoma"/>
            <family val="2"/>
          </rPr>
          <t>maximum fraction of snowpack captured by measured density.</t>
        </r>
      </text>
    </comment>
    <comment ref="T24" authorId="2" shapeId="0" xr:uid="{36C0F2FC-5204-423D-A609-0C2393E6679F}">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U24" authorId="2" shapeId="0" xr:uid="{3590F2A2-B740-4943-963A-2CD11180CCC8}">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V24" authorId="2" shapeId="0" xr:uid="{611043D7-70BB-479F-BC89-34A298E69538}">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W24" authorId="2" shapeId="0" xr:uid="{CD4CF847-EDA3-4C89-809E-0A73DBD03F1A}">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X24" authorId="2" shapeId="0" xr:uid="{FE179767-4C20-48BA-A72F-CDA4BE8930BC}">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Q27" authorId="3" shapeId="0" xr:uid="{98F048DD-F4D9-4A75-A661-9ECB13B3B084}">
      <text>
        <r>
          <rPr>
            <b/>
            <sz val="9"/>
            <color indexed="81"/>
            <rFont val="Tahoma"/>
            <family val="2"/>
          </rPr>
          <t>ehbaker:</t>
        </r>
        <r>
          <rPr>
            <sz val="9"/>
            <color indexed="81"/>
            <rFont val="Tahoma"/>
            <family val="2"/>
          </rPr>
          <t xml:space="preserve">
assumed density for one y/o firn; not measured because no fall 2013 field visit</t>
        </r>
      </text>
    </comment>
    <comment ref="C28" authorId="3" shapeId="0" xr:uid="{7B5EFEA5-C6E5-4199-921E-D1D51D1A1F1B}">
      <text>
        <r>
          <rPr>
            <b/>
            <sz val="9"/>
            <color indexed="81"/>
            <rFont val="Tahoma"/>
            <family val="2"/>
          </rPr>
          <t>ehbaker:</t>
        </r>
        <r>
          <rPr>
            <sz val="9"/>
            <color indexed="81"/>
            <rFont val="Tahoma"/>
            <family val="2"/>
          </rPr>
          <t xml:space="preserve">
30 ft </t>
        </r>
      </text>
    </comment>
    <comment ref="P28" authorId="3" shapeId="0" xr:uid="{B75632C5-A745-429B-85BB-63E5A578ACEA}">
      <text>
        <r>
          <rPr>
            <b/>
            <sz val="9"/>
            <color indexed="81"/>
            <rFont val="Tahoma"/>
            <family val="2"/>
          </rPr>
          <t>ehbaker:
Summer surface was hard to determine; other probed depths of shallower layer that could have been summer surface at avg depth of 2.88m</t>
        </r>
      </text>
    </comment>
    <comment ref="W28" authorId="3" shapeId="0" xr:uid="{2C0C718B-6913-4E38-ACEE-14A466AD451A}">
      <text>
        <r>
          <rPr>
            <b/>
            <sz val="9"/>
            <color indexed="81"/>
            <rFont val="Tahoma"/>
            <family val="2"/>
          </rPr>
          <t>ehbaker:</t>
        </r>
        <r>
          <rPr>
            <sz val="9"/>
            <color indexed="81"/>
            <rFont val="Tahoma"/>
            <family val="2"/>
          </rPr>
          <t xml:space="preserve">
Somewhat suspect, as relies on probed depth of 3.10 m, which field notes indicate is uncertain (multiple hard layers).</t>
        </r>
      </text>
    </comment>
    <comment ref="L29" authorId="3" shapeId="0" xr:uid="{9311980F-7A59-48F4-B85E-DDDB6C2350CA}">
      <text>
        <r>
          <rPr>
            <b/>
            <sz val="9"/>
            <color indexed="81"/>
            <rFont val="Tahoma"/>
            <family val="2"/>
          </rPr>
          <t>ehbaker:</t>
        </r>
        <r>
          <rPr>
            <sz val="9"/>
            <color indexed="81"/>
            <rFont val="Tahoma"/>
            <family val="2"/>
          </rPr>
          <t xml:space="preserve">
Agrees almost perfectly with probed value in spring, increasing confidence in winter ablation #s</t>
        </r>
      </text>
    </comment>
    <comment ref="C38" authorId="3" shapeId="0" xr:uid="{D3196908-9ED8-43E8-814D-18DD2F681FF3}">
      <text>
        <r>
          <rPr>
            <b/>
            <sz val="9"/>
            <color indexed="81"/>
            <rFont val="Tahoma"/>
            <family val="2"/>
          </rPr>
          <t>ehbaker:</t>
        </r>
        <r>
          <rPr>
            <sz val="9"/>
            <color indexed="81"/>
            <rFont val="Tahoma"/>
            <family val="2"/>
          </rPr>
          <t xml:space="preserve">
No new snow on surface during 8/1/2013 visit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GAAdmin</author>
    <author>Rob Burrows</author>
    <author>cmcneil</author>
    <author>ehbaker</author>
  </authors>
  <commentList>
    <comment ref="M2" authorId="0" shapeId="0" xr:uid="{D894C8FA-2952-4EBB-BE43-1072D6B782E6}">
      <text>
        <r>
          <rPr>
            <b/>
            <sz val="8"/>
            <color indexed="81"/>
            <rFont val="Tahoma"/>
            <family val="2"/>
          </rPr>
          <t>GAAdmin:</t>
        </r>
        <r>
          <rPr>
            <sz val="8"/>
            <color indexed="81"/>
            <rFont val="Tahoma"/>
            <family val="2"/>
          </rPr>
          <t xml:space="preserve">
these losses are calculated based on changes in the summer surface height on the mass balance pole.  If the summer surface is lower than previous measurements then there is some sort of loss.  This loss could be either the loss of ice or the loss of Old Firn.</t>
        </r>
      </text>
    </comment>
    <comment ref="P2" authorId="0" shapeId="0" xr:uid="{5D1E55A5-D4B1-4D82-A354-9BBE2CE1F1E3}">
      <text>
        <r>
          <rPr>
            <sz val="8"/>
            <color indexed="81"/>
            <rFont val="Tahoma"/>
            <family val="2"/>
          </rPr>
          <t>This is the amount of snow that is above the summer surface.  The value should always be positive or zero.</t>
        </r>
      </text>
    </comment>
    <comment ref="A3" authorId="0" shapeId="0" xr:uid="{EE3EE545-3F8E-4261-A61C-1EA1101AB75B}">
      <text>
        <r>
          <rPr>
            <b/>
            <sz val="8"/>
            <color indexed="81"/>
            <rFont val="Tahoma"/>
            <family val="2"/>
          </rPr>
          <t>GAAdmin:</t>
        </r>
        <r>
          <rPr>
            <sz val="8"/>
            <color indexed="81"/>
            <rFont val="Tahoma"/>
            <family val="2"/>
          </rPr>
          <t xml:space="preserve">
The stake with which the observations were made.</t>
        </r>
      </text>
    </comment>
    <comment ref="B3" authorId="0" shapeId="0" xr:uid="{8B012461-5544-4FFD-87FA-900F89B8166A}">
      <text>
        <r>
          <rPr>
            <b/>
            <sz val="8"/>
            <color indexed="81"/>
            <rFont val="Tahoma"/>
            <family val="2"/>
          </rPr>
          <t>GAAdmin:</t>
        </r>
        <r>
          <rPr>
            <sz val="8"/>
            <color indexed="81"/>
            <rFont val="Tahoma"/>
            <family val="2"/>
          </rPr>
          <t xml:space="preserve">
Date of observations</t>
        </r>
      </text>
    </comment>
    <comment ref="C3" authorId="0" shapeId="0" xr:uid="{237DFFBC-898C-4A47-94A4-A1B0F2AB48E5}">
      <text>
        <r>
          <rPr>
            <b/>
            <sz val="8"/>
            <color indexed="81"/>
            <rFont val="Tahoma"/>
            <family val="2"/>
          </rPr>
          <t>GAAdmin:</t>
        </r>
        <r>
          <rPr>
            <sz val="8"/>
            <color indexed="81"/>
            <rFont val="Tahoma"/>
            <family val="2"/>
          </rPr>
          <t xml:space="preserve">
Stake reading is the height of the glacier's surface on the balance pole (stake) as measured from the very bottom of the pole.  This "Tape" reading is obtained by measuring the exposed portion of the stake and then subtracting this measurement from the total stake length from its very bottom.</t>
        </r>
      </text>
    </comment>
    <comment ref="D3" authorId="0" shapeId="0" xr:uid="{203AAC68-C689-4696-B9A8-AEC837DF6B2A}">
      <text>
        <r>
          <rPr>
            <b/>
            <sz val="8"/>
            <color indexed="81"/>
            <rFont val="Tahoma"/>
            <family val="2"/>
          </rPr>
          <t>GAAdmin:</t>
        </r>
        <r>
          <rPr>
            <sz val="8"/>
            <color indexed="81"/>
            <rFont val="Tahoma"/>
            <family val="2"/>
          </rPr>
          <t xml:space="preserve">
Stake reading obtained from surveys.  b** should be the most reliable.  A stake reading is the height of the glacier's surface along the balance pole as measured from the bottom.</t>
        </r>
      </text>
    </comment>
    <comment ref="F3" authorId="0" shapeId="0" xr:uid="{FE5A3132-033A-48C5-852B-E3CE8A361404}">
      <text>
        <r>
          <rPr>
            <sz val="8"/>
            <color indexed="81"/>
            <rFont val="Tahoma"/>
            <family val="2"/>
          </rPr>
          <t>Type of surface strata:
Glacier Ice, Snow, Superimposed Ice, Old Firn or New Firn.  For the Fall surveys this should be the surface strata beneath any fresh snow.</t>
        </r>
      </text>
    </comment>
    <comment ref="G3" authorId="0" shapeId="0" xr:uid="{AFCC6F83-8959-41CE-B31C-40449ADBBEF0}">
      <text>
        <r>
          <rPr>
            <b/>
            <sz val="8"/>
            <color indexed="81"/>
            <rFont val="Tahoma"/>
            <family val="2"/>
          </rPr>
          <t>GAAdmin:</t>
        </r>
        <r>
          <rPr>
            <sz val="8"/>
            <color indexed="81"/>
            <rFont val="Tahoma"/>
            <family val="2"/>
          </rPr>
          <t xml:space="preserve">
Average depth of snow as determined in snow pit or depth at stake location.</t>
        </r>
      </text>
    </comment>
    <comment ref="H3" authorId="0" shapeId="0" xr:uid="{B78996DE-0F55-48D2-A06A-A98E220CC499}">
      <text>
        <r>
          <rPr>
            <b/>
            <sz val="8"/>
            <color indexed="81"/>
            <rFont val="Tahoma"/>
            <family val="2"/>
          </rPr>
          <t>GAAdmin:</t>
        </r>
        <r>
          <rPr>
            <sz val="8"/>
            <color indexed="81"/>
            <rFont val="Tahoma"/>
            <family val="2"/>
          </rPr>
          <t xml:space="preserve">
Average depth of snow from probing
</t>
        </r>
      </text>
    </comment>
    <comment ref="I3" authorId="0" shapeId="0" xr:uid="{49D593B3-31CE-4385-B996-10BEBFFF3896}">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K3" authorId="0" shapeId="0" xr:uid="{24F9667F-3864-4A9E-A50D-5915AE2136D0}">
      <text>
        <r>
          <rPr>
            <b/>
            <sz val="8"/>
            <color indexed="81"/>
            <rFont val="Tahoma"/>
            <family val="2"/>
          </rPr>
          <t>GAAdmin:</t>
        </r>
        <r>
          <rPr>
            <sz val="8"/>
            <color indexed="81"/>
            <rFont val="Tahoma"/>
            <family val="2"/>
          </rPr>
          <t xml:space="preserve">
number of observations of snow depth</t>
        </r>
      </text>
    </comment>
    <comment ref="L3" authorId="0" shapeId="0" xr:uid="{AB6E4DE5-7F23-43C8-A6A2-E46D8C9586F1}">
      <text>
        <r>
          <rPr>
            <sz val="8"/>
            <color indexed="81"/>
            <rFont val="Tahoma"/>
            <family val="2"/>
          </rPr>
          <t xml:space="preserve">Summer surface on the stake.  
In the </t>
        </r>
        <r>
          <rPr>
            <b/>
            <sz val="8"/>
            <color indexed="81"/>
            <rFont val="Tahoma"/>
            <family val="2"/>
          </rPr>
          <t>Spring</t>
        </r>
        <r>
          <rPr>
            <sz val="8"/>
            <color indexed="81"/>
            <rFont val="Tahoma"/>
            <family val="2"/>
          </rPr>
          <t xml:space="preserve"> this should be the lower of that determined by snow depth measurements AND b** from the previous year.
In the </t>
        </r>
        <r>
          <rPr>
            <b/>
            <sz val="8"/>
            <color indexed="81"/>
            <rFont val="Tahoma"/>
            <family val="2"/>
          </rPr>
          <t xml:space="preserve">Fall </t>
        </r>
        <r>
          <rPr>
            <sz val="8"/>
            <color indexed="81"/>
            <rFont val="Tahoma"/>
            <family val="2"/>
          </rPr>
          <t xml:space="preserve">this should be the stake reading minus the remaining snow pack or superimposed ice.  It should be close to the Spring measurement.  If it is less than the spring measurement then there was loss.  If it is more than the spring measurement then there is likely an error and the spring measurment should be used. </t>
        </r>
      </text>
    </comment>
    <comment ref="M3" authorId="0" shapeId="0" xr:uid="{0E9CC4C3-F589-4F7A-AA80-44BB0E40B56E}">
      <text>
        <r>
          <rPr>
            <b/>
            <sz val="8"/>
            <color indexed="81"/>
            <rFont val="Tahoma"/>
            <family val="2"/>
          </rPr>
          <t>GAAdmin:</t>
        </r>
        <r>
          <rPr>
            <sz val="8"/>
            <color indexed="81"/>
            <rFont val="Tahoma"/>
            <family val="2"/>
          </rPr>
          <t xml:space="preserve">
This density is estimated and is based on the surface strata of the previous survey.</t>
        </r>
      </text>
    </comment>
    <comment ref="N3" authorId="0" shapeId="0" xr:uid="{966A9221-C616-4403-81EA-3EC0ECF100D4}">
      <text>
        <r>
          <rPr>
            <b/>
            <sz val="8"/>
            <color indexed="81"/>
            <rFont val="Tahoma"/>
            <family val="2"/>
          </rPr>
          <t>GAAdmin:</t>
        </r>
        <r>
          <rPr>
            <sz val="8"/>
            <color indexed="81"/>
            <rFont val="Tahoma"/>
            <family val="2"/>
          </rPr>
          <t xml:space="preserve">
This is the water equivalent in meters for the snow or ice along the length of the balance pole.  Taking the bottom of the pole to be zero, the the height the surface is on the pole (b'ss) is than converted to a water equivelent for this column using an estimated density.</t>
        </r>
      </text>
    </comment>
    <comment ref="O3" authorId="0" shapeId="0" xr:uid="{1215A33D-6599-4101-935C-AB2116E9718E}">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3" authorId="0" shapeId="0" xr:uid="{D40986EF-5857-48EF-B33C-0997D5CDDB5B}">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3" authorId="0" shapeId="0" xr:uid="{DD4CD0B4-1815-4CF8-8204-4AA376695B6E}">
      <text>
        <r>
          <rPr>
            <sz val="8"/>
            <color indexed="81"/>
            <rFont val="Tahoma"/>
            <family val="2"/>
          </rPr>
          <t>Average density of the material above ss.</t>
        </r>
      </text>
    </comment>
    <comment ref="R3" authorId="0" shapeId="0" xr:uid="{C1489ED5-4F27-4507-B1FC-6CED87A3B12A}">
      <text>
        <r>
          <rPr>
            <b/>
            <sz val="8"/>
            <color indexed="81"/>
            <rFont val="Tahoma"/>
            <family val="2"/>
          </rPr>
          <t>GAAdmin:</t>
        </r>
        <r>
          <rPr>
            <sz val="8"/>
            <color indexed="81"/>
            <rFont val="Tahoma"/>
            <family val="2"/>
          </rPr>
          <t xml:space="preserve">
Is the Density Estimated (E) or is it Measured (M) ?</t>
        </r>
      </text>
    </comment>
    <comment ref="S3" authorId="0" shapeId="0" xr:uid="{C85D809C-BA25-4B50-856E-9FAAA64B7FA2}">
      <text>
        <r>
          <rPr>
            <sz val="8"/>
            <color indexed="81"/>
            <rFont val="Tahoma"/>
            <family val="2"/>
          </rPr>
          <t>This is a balance value based on accumulation of material primarily derived from "Snow".  This of course could also be New Firn, Superimposed Ice or Snow.  Hopefully the title of this column is not decieving.
In the Fall any remaining snow is then called New Firn.  Then in the fall or rather, for New Firn (Nfirn) the amount of water retained in the snow pack by capillary retention is subtracted.  This is 7% of the void space.  See Mayo's book page 40 for more explanation.</t>
        </r>
      </text>
    </comment>
    <comment ref="T3" authorId="0" shapeId="0" xr:uid="{A621D663-DD93-46F4-8244-C4F277CA442E}">
      <text>
        <r>
          <rPr>
            <b/>
            <sz val="8"/>
            <color indexed="81"/>
            <rFont val="Tahoma"/>
            <family val="2"/>
          </rPr>
          <t>GAAdmin:</t>
        </r>
        <r>
          <rPr>
            <sz val="8"/>
            <color indexed="81"/>
            <rFont val="Tahoma"/>
            <family val="2"/>
          </rPr>
          <t xml:space="preserve">
This is the seasonal Net balance.  If the observation date is from Fall, this value is a Summer Balance.  If the observation data is from Spring, then it is the Winter Balance.
For </t>
        </r>
        <r>
          <rPr>
            <b/>
            <sz val="8"/>
            <color indexed="81"/>
            <rFont val="Tahoma"/>
            <family val="2"/>
          </rPr>
          <t>Spring</t>
        </r>
        <r>
          <rPr>
            <sz val="8"/>
            <color indexed="81"/>
            <rFont val="Tahoma"/>
            <family val="2"/>
          </rPr>
          <t xml:space="preserve">, this is the volume of water contained in the snow between the surface and the summer surface.
For </t>
        </r>
        <r>
          <rPr>
            <b/>
            <sz val="8"/>
            <color indexed="81"/>
            <rFont val="Tahoma"/>
            <family val="2"/>
          </rPr>
          <t>Fall</t>
        </r>
        <r>
          <rPr>
            <sz val="8"/>
            <color indexed="81"/>
            <rFont val="Tahoma"/>
            <family val="2"/>
          </rPr>
          <t xml:space="preserve">, this is the difference in the volume of water contained in the snow between the Fall and Spring.
Fall - Spring = Summer Balance.
This will be negative.  </t>
        </r>
      </text>
    </comment>
    <comment ref="L4" authorId="0" shapeId="0" xr:uid="{E110864A-1334-4862-A5E5-D01D53FCC513}">
      <text>
        <r>
          <rPr>
            <sz val="8"/>
            <color indexed="81"/>
            <rFont val="Tahoma"/>
            <family val="2"/>
          </rPr>
          <t xml:space="preserve">This is both calculated and measured.  What goes in this column is an average or the "best value".  This is done so that there is a check on the entered value.  Identifying the summer surface correctly is VERY important!  That is why there is a built in check.
</t>
        </r>
      </text>
    </comment>
    <comment ref="S4" authorId="0" shapeId="0" xr:uid="{F9DA8EE9-E8CB-4E69-9B3C-919826B184C5}">
      <text/>
    </comment>
    <comment ref="J5" authorId="1" shapeId="0" xr:uid="{FEE68176-C6E4-4922-86E7-DEFA09F7B803}">
      <text>
        <r>
          <rPr>
            <b/>
            <sz val="9"/>
            <color indexed="81"/>
            <rFont val="Tahoma"/>
            <family val="2"/>
          </rPr>
          <t>Rob Burrows:</t>
        </r>
        <r>
          <rPr>
            <sz val="9"/>
            <color indexed="81"/>
            <rFont val="Tahoma"/>
            <family val="2"/>
          </rPr>
          <t xml:space="preserve">
This value should be close to zero in a negative balance year.  In positive balance years it should be close to the depth of firn retained (and compared to any probe or pit measurements)</t>
        </r>
      </text>
    </comment>
    <comment ref="Q6" authorId="1" shapeId="0" xr:uid="{AA633CC2-2307-4372-9EFF-B1A354165A79}">
      <text>
        <r>
          <rPr>
            <b/>
            <sz val="9"/>
            <color indexed="81"/>
            <rFont val="Tahoma"/>
            <family val="2"/>
          </rPr>
          <t>Rob Burrows:</t>
        </r>
        <r>
          <rPr>
            <sz val="9"/>
            <color indexed="81"/>
            <rFont val="Tahoma"/>
            <family val="2"/>
          </rPr>
          <t xml:space="preserve">
All Nfirn densities for 2013 as estimated from new firn measured on 8/21/14 at stake 17-B.</t>
        </r>
      </text>
    </comment>
    <comment ref="J11" authorId="1" shapeId="0" xr:uid="{EB080C38-B7C2-4D7F-8A19-EC4B9E2369A3}">
      <text>
        <r>
          <rPr>
            <b/>
            <sz val="9"/>
            <color indexed="81"/>
            <rFont val="Tahoma"/>
            <family val="2"/>
          </rPr>
          <t>Rob Burrows:</t>
        </r>
        <r>
          <rPr>
            <sz val="9"/>
            <color indexed="81"/>
            <rFont val="Tahoma"/>
            <family val="2"/>
          </rPr>
          <t xml:space="preserve">
These values show that snow probing penetrated into the new firn by up to 1.36 m.  Will use the previous fall's b'ss instead for any calcs.</t>
        </r>
      </text>
    </comment>
    <comment ref="J16" authorId="1" shapeId="0" xr:uid="{FC61048A-C552-4249-AB13-D4FDD160CA1B}">
      <text>
        <r>
          <rPr>
            <b/>
            <sz val="9"/>
            <color indexed="81"/>
            <rFont val="Tahoma"/>
            <family val="2"/>
          </rPr>
          <t>Rob Burrows:</t>
        </r>
        <r>
          <rPr>
            <sz val="9"/>
            <color indexed="81"/>
            <rFont val="Tahoma"/>
            <family val="2"/>
          </rPr>
          <t xml:space="preserve">
These values show that snow probing penetrated into the new firn by up to 0.80 m.  Will use the previous fall's b'ss instead for any calcs.</t>
        </r>
      </text>
    </comment>
    <comment ref="A24" authorId="0" shapeId="0" xr:uid="{5824C3CC-A9EE-4E80-AA57-071D6667F676}">
      <text>
        <r>
          <rPr>
            <b/>
            <sz val="8"/>
            <color indexed="81"/>
            <rFont val="Tahoma"/>
            <family val="2"/>
          </rPr>
          <t>GAAdmin:</t>
        </r>
        <r>
          <rPr>
            <sz val="8"/>
            <color indexed="81"/>
            <rFont val="Tahoma"/>
            <family val="2"/>
          </rPr>
          <t xml:space="preserve">
The stake with which the observations were made.</t>
        </r>
      </text>
    </comment>
    <comment ref="B24" authorId="0" shapeId="0" xr:uid="{83DA916A-6B3F-4FC3-8780-A50818DD8C40}">
      <text>
        <r>
          <rPr>
            <b/>
            <sz val="8"/>
            <color indexed="81"/>
            <rFont val="Tahoma"/>
            <family val="2"/>
          </rPr>
          <t>GAAdmin:</t>
        </r>
        <r>
          <rPr>
            <sz val="8"/>
            <color indexed="81"/>
            <rFont val="Tahoma"/>
            <family val="2"/>
          </rPr>
          <t xml:space="preserve">
Date of observations</t>
        </r>
      </text>
    </comment>
    <comment ref="C24" authorId="2" shapeId="0" xr:uid="{BA74DCF9-F5CB-44AF-A3C8-62FEC240166A}">
      <text>
        <r>
          <rPr>
            <b/>
            <sz val="9"/>
            <color indexed="81"/>
            <rFont val="Tahoma"/>
            <family val="2"/>
          </rPr>
          <t>cmcneil:</t>
        </r>
        <r>
          <rPr>
            <sz val="9"/>
            <color indexed="81"/>
            <rFont val="Tahoma"/>
            <family val="2"/>
          </rPr>
          <t xml:space="preserve">
Total length of stake</t>
        </r>
      </text>
    </comment>
    <comment ref="D24" authorId="2" shapeId="0" xr:uid="{420EC022-0CF5-4F9B-8703-9EECA5BED248}">
      <text>
        <r>
          <rPr>
            <b/>
            <sz val="9"/>
            <color indexed="81"/>
            <rFont val="Tahoma"/>
            <family val="2"/>
          </rPr>
          <t>cmcneil:</t>
        </r>
        <r>
          <rPr>
            <sz val="9"/>
            <color indexed="81"/>
            <rFont val="Tahoma"/>
            <family val="2"/>
          </rPr>
          <t xml:space="preserve">
Length of stake above the surface noted in column D</t>
        </r>
      </text>
    </comment>
    <comment ref="E24" authorId="2" shapeId="0" xr:uid="{2B611752-8D27-4F11-BB28-9E2C0CC727A1}">
      <text>
        <r>
          <rPr>
            <b/>
            <sz val="9"/>
            <color indexed="81"/>
            <rFont val="Tahoma"/>
            <family val="2"/>
          </rPr>
          <t>cmcneil:</t>
        </r>
        <r>
          <rPr>
            <sz val="9"/>
            <color indexed="81"/>
            <rFont val="Tahoma"/>
            <family val="2"/>
          </rPr>
          <t xml:space="preserve">
Length of stake still below the surface noted in column D</t>
        </r>
      </text>
    </comment>
    <comment ref="F24" authorId="0" shapeId="0" xr:uid="{8D236065-04C6-4220-AFED-308ECFCF21BB}">
      <text>
        <r>
          <rPr>
            <sz val="8"/>
            <color indexed="81"/>
            <rFont val="Tahoma"/>
            <family val="2"/>
          </rPr>
          <t>Type of surface strata:
Glacier Ice, Snow, Superimposed Ice, Old Firn or New Firn.  For the Fall surveys this should be the surface strata beneath any fresh snow.</t>
        </r>
      </text>
    </comment>
    <comment ref="G24" authorId="0" shapeId="0" xr:uid="{A02E56A3-5EF9-477E-B9F5-FAC8DDA227F7}">
      <text>
        <r>
          <rPr>
            <b/>
            <sz val="8"/>
            <color indexed="81"/>
            <rFont val="Tahoma"/>
            <family val="2"/>
          </rPr>
          <t>GAAdmin:</t>
        </r>
        <r>
          <rPr>
            <sz val="8"/>
            <color indexed="81"/>
            <rFont val="Tahoma"/>
            <family val="2"/>
          </rPr>
          <t xml:space="preserve">
Average depth of snow as determined in snow pit.</t>
        </r>
      </text>
    </comment>
    <comment ref="H24" authorId="0" shapeId="0" xr:uid="{41AC408D-2A50-4D8A-93BD-2D4CDC2D0D4C}">
      <text>
        <r>
          <rPr>
            <b/>
            <sz val="8"/>
            <color indexed="81"/>
            <rFont val="Tahoma"/>
            <family val="2"/>
          </rPr>
          <t>GAAdmin:</t>
        </r>
        <r>
          <rPr>
            <sz val="8"/>
            <color indexed="81"/>
            <rFont val="Tahoma"/>
            <family val="2"/>
          </rPr>
          <t xml:space="preserve">
Average depth of snow from probing
</t>
        </r>
      </text>
    </comment>
    <comment ref="I24" authorId="0" shapeId="0" xr:uid="{D96BCA7D-C2F1-4D23-90D1-6B69933BFD0E}">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24" authorId="0" shapeId="0" xr:uid="{1A58A733-482F-45D4-9D9A-A4D119075AF7}">
      <text>
        <r>
          <rPr>
            <b/>
            <sz val="8"/>
            <color indexed="81"/>
            <rFont val="Tahoma"/>
            <family val="2"/>
          </rPr>
          <t>GAAdmin:</t>
        </r>
        <r>
          <rPr>
            <sz val="8"/>
            <color indexed="81"/>
            <rFont val="Tahoma"/>
            <family val="2"/>
          </rPr>
          <t xml:space="preserve">
Standard Error</t>
        </r>
      </text>
    </comment>
    <comment ref="K24" authorId="0" shapeId="0" xr:uid="{4DFC007D-1907-43FD-AF88-95B3BEF360A9}">
      <text>
        <r>
          <rPr>
            <b/>
            <sz val="8"/>
            <color indexed="81"/>
            <rFont val="Tahoma"/>
            <family val="2"/>
          </rPr>
          <t>GAAdmin:</t>
        </r>
        <r>
          <rPr>
            <sz val="8"/>
            <color indexed="81"/>
            <rFont val="Tahoma"/>
            <family val="2"/>
          </rPr>
          <t xml:space="preserve">
number of observations of snow depth</t>
        </r>
      </text>
    </comment>
    <comment ref="M24" authorId="0" shapeId="0" xr:uid="{41AD67EF-F48E-405A-A9FE-A1068DBA5551}">
      <text>
        <r>
          <rPr>
            <b/>
            <sz val="8"/>
            <color indexed="81"/>
            <rFont val="Tahoma"/>
            <family val="2"/>
          </rPr>
          <t>GAAdmin:</t>
        </r>
        <r>
          <rPr>
            <sz val="8"/>
            <color indexed="81"/>
            <rFont val="Tahoma"/>
            <family val="2"/>
          </rPr>
          <t xml:space="preserve">
This density is estimated and is based on the surface strata of the previous survey.</t>
        </r>
      </text>
    </comment>
    <comment ref="O24" authorId="0" shapeId="0" xr:uid="{B792550E-6611-4CF2-89E9-D51045198E94}">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24" authorId="0" shapeId="0" xr:uid="{8E997412-5657-4D57-AD0C-C3480A1B5ED3}">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24" authorId="0" shapeId="0" xr:uid="{5759807C-8F43-44E6-8C73-25567E4B6D43}">
      <text>
        <r>
          <rPr>
            <sz val="8"/>
            <color indexed="81"/>
            <rFont val="Tahoma"/>
            <family val="2"/>
          </rPr>
          <t>Average density of the material above ss.</t>
        </r>
      </text>
    </comment>
    <comment ref="T24" authorId="2" shapeId="0" xr:uid="{F999B671-1579-4244-B0E6-30B9476A8E78}">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U24" authorId="2" shapeId="0" xr:uid="{E010153F-DE5A-40A0-998A-B335761287F3}">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V24" authorId="2" shapeId="0" xr:uid="{E5AE9877-2C83-49DC-A219-77AC0363CBCD}">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W24" authorId="2" shapeId="0" xr:uid="{039403EF-C8DF-43CF-BE3C-039D409FE434}">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X24" authorId="2" shapeId="0" xr:uid="{21DCB485-95C2-459C-A8FB-479C847C852A}">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Q27" authorId="3" shapeId="0" xr:uid="{D90512F5-2C21-4E15-B8FD-A6481B413708}">
      <text>
        <r>
          <rPr>
            <b/>
            <sz val="9"/>
            <color indexed="81"/>
            <rFont val="Tahoma"/>
            <family val="2"/>
          </rPr>
          <t>ehbaker:</t>
        </r>
        <r>
          <rPr>
            <sz val="9"/>
            <color indexed="81"/>
            <rFont val="Tahoma"/>
            <family val="2"/>
          </rPr>
          <t xml:space="preserve">
assumed density for new firn</t>
        </r>
      </text>
    </comment>
    <comment ref="Q28" authorId="3" shapeId="0" xr:uid="{5D91A784-0C0F-4A09-94FF-1A507CB7A755}">
      <text>
        <r>
          <rPr>
            <b/>
            <sz val="9"/>
            <color indexed="81"/>
            <rFont val="Tahoma"/>
            <family val="2"/>
          </rPr>
          <t>ehbaker:</t>
        </r>
        <r>
          <rPr>
            <sz val="9"/>
            <color indexed="81"/>
            <rFont val="Tahoma"/>
            <family val="2"/>
          </rPr>
          <t xml:space="preserve">
Average of densities at K10 and K17B</t>
        </r>
      </text>
    </comment>
    <comment ref="S28" authorId="3" shapeId="0" xr:uid="{D3E35D79-9DC3-4C36-B4F6-FDFB316BD2F5}">
      <text>
        <r>
          <rPr>
            <b/>
            <sz val="9"/>
            <color indexed="81"/>
            <rFont val="Tahoma"/>
            <family val="2"/>
          </rPr>
          <t>ehbaker:</t>
        </r>
        <r>
          <rPr>
            <sz val="9"/>
            <color indexed="81"/>
            <rFont val="Tahoma"/>
            <family val="2"/>
          </rPr>
          <t xml:space="preserve">
this is the smaller number</t>
        </r>
      </text>
    </comment>
    <comment ref="L29" authorId="3" shapeId="0" xr:uid="{35037BD8-8377-4116-88D9-CE9712C90747}">
      <text>
        <r>
          <rPr>
            <b/>
            <sz val="9"/>
            <color indexed="81"/>
            <rFont val="Tahoma"/>
            <family val="2"/>
          </rPr>
          <t>ehbaker:</t>
        </r>
        <r>
          <rPr>
            <sz val="9"/>
            <color indexed="81"/>
            <rFont val="Tahoma"/>
            <family val="2"/>
          </rPr>
          <t xml:space="preserve">
Concerning that these two do not match; both are supposed to be depth of summer 2013 surface.</t>
        </r>
      </text>
    </comment>
    <comment ref="Q29" authorId="3" shapeId="0" xr:uid="{8005F86D-8196-40D1-A2DE-2C7B3B9CD5D6}">
      <text>
        <r>
          <rPr>
            <b/>
            <sz val="9"/>
            <color indexed="81"/>
            <rFont val="Tahoma"/>
            <family val="2"/>
          </rPr>
          <t>ehbaker:</t>
        </r>
        <r>
          <rPr>
            <sz val="9"/>
            <color indexed="81"/>
            <rFont val="Tahoma"/>
            <family val="2"/>
          </rPr>
          <t xml:space="preserve">
assumed density for new firn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ehbaker</author>
  </authors>
  <commentList>
    <comment ref="H1" authorId="0" shapeId="0" xr:uid="{CF58C7F2-6310-446D-A861-70C7CC74D18C}">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 For Federal Sampler, report the deepest of samples taken (only one drive per sample).</t>
        </r>
      </text>
    </comment>
    <comment ref="H2" authorId="0" shapeId="0" xr:uid="{E35BEA4D-E3F8-4BCA-8249-350E04F5E809}">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736406FD-7B64-4505-9ED8-2F93208CE457}">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2DD40729-F574-41A4-9464-F7E633213D22}">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2184BB50-A7B6-4E0C-A106-B48BFBEBBE0B}">
      <text>
        <r>
          <rPr>
            <sz val="8"/>
            <color indexed="81"/>
            <rFont val="Tahoma"/>
            <family val="2"/>
          </rPr>
          <t xml:space="preserve">Sipre coring auger=45.6cm2 
large tube 41.05 cm2       
small tube 25.6   cm2          
Snow Metrics 1000 cm^3
</t>
        </r>
      </text>
    </comment>
    <comment ref="A10" authorId="2" shapeId="0" xr:uid="{540DDB33-28F8-494F-BDB8-E09E4BB6FC7B}">
      <text>
        <r>
          <rPr>
            <b/>
            <sz val="9"/>
            <color indexed="81"/>
            <rFont val="Tahoma"/>
            <family val="2"/>
          </rPr>
          <t>ehbaker:</t>
        </r>
        <r>
          <rPr>
            <sz val="9"/>
            <color indexed="81"/>
            <rFont val="Tahoma"/>
            <family val="2"/>
          </rPr>
          <t xml:space="preserve">
Depth of penetration into the snowpack of the Federal Sampler from the surface of the snowpack
</t>
        </r>
      </text>
    </comment>
    <comment ref="B10" authorId="2" shapeId="0" xr:uid="{97CC1293-A6E7-4DE4-B7B2-E81A0FF76FC6}">
      <text>
        <r>
          <rPr>
            <b/>
            <sz val="9"/>
            <color indexed="81"/>
            <rFont val="Tahoma"/>
            <family val="2"/>
          </rPr>
          <t>ehbaker:</t>
        </r>
        <r>
          <rPr>
            <sz val="9"/>
            <color indexed="81"/>
            <rFont val="Tahoma"/>
            <family val="2"/>
          </rPr>
          <t xml:space="preserve">
Length of core recovered, as seen through the slotted sides of the Federal Sampler tube</t>
        </r>
      </text>
    </comment>
    <comment ref="C10" authorId="2" shapeId="0" xr:uid="{4E58921A-CBF2-47D0-877B-276F8BA43BEA}">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D10" authorId="2" shapeId="0" xr:uid="{16B79C05-0D34-419C-A07F-0A64B38F7885}">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H10" authorId="0" shapeId="0" xr:uid="{8A57F922-297F-46B4-BA32-D02CE3CC726A}">
      <text>
        <r>
          <rPr>
            <b/>
            <sz val="9"/>
            <color indexed="81"/>
            <rFont val="Tahoma"/>
            <family val="2"/>
          </rPr>
          <t>cmcneil:</t>
        </r>
        <r>
          <rPr>
            <sz val="9"/>
            <color indexed="81"/>
            <rFont val="Tahoma"/>
            <family val="2"/>
          </rPr>
          <t xml:space="preserve">
What was used to measure snow depth</t>
        </r>
      </text>
    </comment>
    <comment ref="I10" authorId="0" shapeId="0" xr:uid="{F33870AE-C5DE-4BA5-A796-371E654F52A0}">
      <text>
        <r>
          <rPr>
            <b/>
            <sz val="9"/>
            <color indexed="81"/>
            <rFont val="Tahoma"/>
            <family val="2"/>
          </rPr>
          <t>cmcneil:</t>
        </r>
        <r>
          <rPr>
            <sz val="9"/>
            <color indexed="81"/>
            <rFont val="Tahoma"/>
            <family val="2"/>
          </rPr>
          <t xml:space="preserve">
snow depth observed</t>
        </r>
      </text>
    </comment>
    <comment ref="O10" authorId="2" shapeId="0" xr:uid="{F21C6C38-05E7-4355-B057-A50878764BC4}">
      <text>
        <r>
          <rPr>
            <b/>
            <sz val="9"/>
            <color indexed="81"/>
            <rFont val="Tahoma"/>
            <family val="2"/>
          </rPr>
          <t>ehbaker:</t>
        </r>
        <r>
          <rPr>
            <sz val="9"/>
            <color indexed="81"/>
            <rFont val="Tahoma"/>
            <family val="2"/>
          </rPr>
          <t xml:space="preserve">
Fraction of total snow depth sampled by density measurements. This is the maximum m% (some samples may cover less)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ehbaker</author>
  </authors>
  <commentList>
    <comment ref="H1" authorId="0" shapeId="0" xr:uid="{592677D8-BBB3-4328-A4A5-7757B144191A}">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 For Federal Sampler, report the deepest of samples taken (only one drive per sample).</t>
        </r>
      </text>
    </comment>
    <comment ref="H2" authorId="0" shapeId="0" xr:uid="{351541A7-FCDC-48EE-9494-DB64318CA706}">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20F08CC0-B2BB-4FE3-BEBD-848F0BE75BEE}">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098A0E2A-C14E-4911-B2E1-DF3B2DB44712}">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D6DF3732-B541-485F-8860-65C91071A38C}">
      <text>
        <r>
          <rPr>
            <sz val="8"/>
            <color indexed="81"/>
            <rFont val="Tahoma"/>
            <family val="2"/>
          </rPr>
          <t xml:space="preserve">Sipre coring auger=45.6cm2 
large tube 41.05 cm2       
small tube 25.6   cm2          
Snow Metrics 1000 cm^3
</t>
        </r>
      </text>
    </comment>
    <comment ref="A10" authorId="2" shapeId="0" xr:uid="{6EA0ABB3-349F-4D03-A70C-E1B3D834BEAA}">
      <text>
        <r>
          <rPr>
            <b/>
            <sz val="9"/>
            <color indexed="81"/>
            <rFont val="Tahoma"/>
            <family val="2"/>
          </rPr>
          <t>ehbaker:</t>
        </r>
        <r>
          <rPr>
            <sz val="9"/>
            <color indexed="81"/>
            <rFont val="Tahoma"/>
            <family val="2"/>
          </rPr>
          <t xml:space="preserve">
Depth of penetration into the snowpack of the Federal Sampler from the surface of the snowpack
</t>
        </r>
      </text>
    </comment>
    <comment ref="B10" authorId="2" shapeId="0" xr:uid="{E982657C-EEBB-4F6B-9D79-AB2CAD7C8781}">
      <text>
        <r>
          <rPr>
            <b/>
            <sz val="9"/>
            <color indexed="81"/>
            <rFont val="Tahoma"/>
            <family val="2"/>
          </rPr>
          <t>ehbaker:</t>
        </r>
        <r>
          <rPr>
            <sz val="9"/>
            <color indexed="81"/>
            <rFont val="Tahoma"/>
            <family val="2"/>
          </rPr>
          <t xml:space="preserve">
Length of core recovered, as seen through the slotted sides of the Federal Sampler tube</t>
        </r>
      </text>
    </comment>
    <comment ref="C10" authorId="2" shapeId="0" xr:uid="{3291D395-EB38-4F1B-8789-201108AC920D}">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D10" authorId="2" shapeId="0" xr:uid="{FEBB6827-803A-40CA-8DC8-2F50C03C552E}">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H10" authorId="0" shapeId="0" xr:uid="{077D9FCF-105A-41D3-968B-4ACDE652C65D}">
      <text>
        <r>
          <rPr>
            <b/>
            <sz val="9"/>
            <color indexed="81"/>
            <rFont val="Tahoma"/>
            <family val="2"/>
          </rPr>
          <t>cmcneil:</t>
        </r>
        <r>
          <rPr>
            <sz val="9"/>
            <color indexed="81"/>
            <rFont val="Tahoma"/>
            <family val="2"/>
          </rPr>
          <t xml:space="preserve">
What was used to measure snow depth</t>
        </r>
      </text>
    </comment>
    <comment ref="I10" authorId="0" shapeId="0" xr:uid="{04A795F4-E3D8-4C1B-8E67-2ABFB515B9B1}">
      <text>
        <r>
          <rPr>
            <b/>
            <sz val="9"/>
            <color indexed="81"/>
            <rFont val="Tahoma"/>
            <family val="2"/>
          </rPr>
          <t>cmcneil:</t>
        </r>
        <r>
          <rPr>
            <sz val="9"/>
            <color indexed="81"/>
            <rFont val="Tahoma"/>
            <family val="2"/>
          </rPr>
          <t xml:space="preserve">
snow depth observed</t>
        </r>
      </text>
    </comment>
    <comment ref="O10" authorId="2" shapeId="0" xr:uid="{A7562D3B-7C1C-4552-8251-BD8A514C526A}">
      <text>
        <r>
          <rPr>
            <b/>
            <sz val="9"/>
            <color indexed="81"/>
            <rFont val="Tahoma"/>
            <family val="2"/>
          </rPr>
          <t>ehbaker:</t>
        </r>
        <r>
          <rPr>
            <sz val="9"/>
            <color indexed="81"/>
            <rFont val="Tahoma"/>
            <family val="2"/>
          </rPr>
          <t xml:space="preserve">
Fraction of total snow depth sampled by density measurements. This is the maximum m% (some samples may cover less)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cmcneil</author>
  </authors>
  <commentList>
    <comment ref="H1" authorId="0" shapeId="0" xr:uid="{B69E119A-1DD3-462A-B412-3735A12D63B5}">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 For Federal Sampler, report the deepest of samples taken (only one drive per sample).</t>
        </r>
      </text>
    </comment>
    <comment ref="M1" authorId="0" shapeId="0" xr:uid="{6C55DA60-3654-4F12-8C2F-8B3B4AE7CC00}">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 For Federal Sampler, report the deepest of samples taken (only one drive per sample).</t>
        </r>
      </text>
    </comment>
    <comment ref="H2" authorId="0" shapeId="0" xr:uid="{8C2191AF-2051-4EC3-8A6A-1B48E6158CDF}">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M2" authorId="0" shapeId="0" xr:uid="{E81FCED9-8EC0-4CF4-80DE-4FDF0E395345}">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5AE17A15-E712-4A7F-B393-7CE20FC32B83}">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M3" authorId="0" shapeId="0" xr:uid="{51BD8EA3-9A2A-466B-9C2A-19A3C5FFB49A}">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B7A9F77B-8E24-4168-BDE5-740E05BCFD4E}">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M4" authorId="0" shapeId="0" xr:uid="{CB4A8B1A-B1FA-4125-BA7B-D53553200759}">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ehbaker</author>
  </authors>
  <commentList>
    <comment ref="H1" authorId="0" shapeId="0" xr:uid="{3CBE1239-5EA6-4039-B18A-3F960E7F7B04}">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 For Federal Sampler, report the deepest of samples taken (only one drive per sample).</t>
        </r>
      </text>
    </comment>
    <comment ref="H2" authorId="0" shapeId="0" xr:uid="{8CC5D13E-31BF-4A82-A4A2-BB66595DDFC4}">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054D462A-E284-4555-9105-2E08227D1A31}">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CCAE24F5-A62E-4DFF-9EE2-FF4EE69665C0}">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FF4CF576-5D1B-4DA8-AE21-C32CB5339870}">
      <text>
        <r>
          <rPr>
            <sz val="8"/>
            <color indexed="81"/>
            <rFont val="Tahoma"/>
            <family val="2"/>
          </rPr>
          <t xml:space="preserve">Sipre coring auger=45.6cm2 
large tube 41.05 cm2       
small tube 25.6   cm2          
Snow Metrics 1000 cm^3
</t>
        </r>
      </text>
    </comment>
    <comment ref="A9" authorId="2" shapeId="0" xr:uid="{2ADA07B0-43DB-491A-9196-42D5147DB97B}">
      <text>
        <r>
          <rPr>
            <b/>
            <sz val="9"/>
            <color indexed="81"/>
            <rFont val="Tahoma"/>
            <family val="2"/>
          </rPr>
          <t>ehbaker:</t>
        </r>
        <r>
          <rPr>
            <sz val="9"/>
            <color indexed="81"/>
            <rFont val="Tahoma"/>
            <family val="2"/>
          </rPr>
          <t xml:space="preserve">
Depth of penetration into the snowpack of the Federal Sampler from the surface of the snowpack
</t>
        </r>
      </text>
    </comment>
    <comment ref="B9" authorId="2" shapeId="0" xr:uid="{2F7C875F-4712-437F-AC70-CD06A23FC1AE}">
      <text>
        <r>
          <rPr>
            <b/>
            <sz val="9"/>
            <color indexed="81"/>
            <rFont val="Tahoma"/>
            <family val="2"/>
          </rPr>
          <t>ehbaker:</t>
        </r>
        <r>
          <rPr>
            <sz val="9"/>
            <color indexed="81"/>
            <rFont val="Tahoma"/>
            <family val="2"/>
          </rPr>
          <t xml:space="preserve">
Length of core recovered, as seen through the slotted sides of the Federal Sampler tube</t>
        </r>
      </text>
    </comment>
    <comment ref="C9" authorId="2" shapeId="0" xr:uid="{207EA714-09F9-46EF-989C-C1CFF70C73CB}">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D9" authorId="2" shapeId="0" xr:uid="{4116C320-DEE0-469A-829F-2129420047FF}">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H9" authorId="0" shapeId="0" xr:uid="{3E9F86A0-45FF-4239-8E4B-B42BD1E843DD}">
      <text>
        <r>
          <rPr>
            <b/>
            <sz val="9"/>
            <color indexed="81"/>
            <rFont val="Tahoma"/>
            <family val="2"/>
          </rPr>
          <t>cmcneil:</t>
        </r>
        <r>
          <rPr>
            <sz val="9"/>
            <color indexed="81"/>
            <rFont val="Tahoma"/>
            <family val="2"/>
          </rPr>
          <t xml:space="preserve">
What was used to measure snow depth</t>
        </r>
      </text>
    </comment>
    <comment ref="I9" authorId="0" shapeId="0" xr:uid="{7F3C644F-76A7-4979-A6F0-CB9796C30592}">
      <text>
        <r>
          <rPr>
            <b/>
            <sz val="9"/>
            <color indexed="81"/>
            <rFont val="Tahoma"/>
            <family val="2"/>
          </rPr>
          <t>cmcneil:</t>
        </r>
        <r>
          <rPr>
            <sz val="9"/>
            <color indexed="81"/>
            <rFont val="Tahoma"/>
            <family val="2"/>
          </rPr>
          <t xml:space="preserve">
snow depth observed</t>
        </r>
      </text>
    </comment>
    <comment ref="O9" authorId="2" shapeId="0" xr:uid="{E6795596-6ED8-421E-9B15-0829BEE5F953}">
      <text>
        <r>
          <rPr>
            <b/>
            <sz val="9"/>
            <color indexed="81"/>
            <rFont val="Tahoma"/>
            <family val="2"/>
          </rPr>
          <t>ehbaker:</t>
        </r>
        <r>
          <rPr>
            <sz val="9"/>
            <color indexed="81"/>
            <rFont val="Tahoma"/>
            <family val="2"/>
          </rPr>
          <t xml:space="preserve">
Fraction of total snow depth sampled by density measurements. This is the maximum m% (some samples may cover less)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ehbaker</author>
  </authors>
  <commentList>
    <comment ref="H1" authorId="0" shapeId="0" xr:uid="{6EC66A76-519C-486E-ADF0-F0E398FA94D3}">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 For Federal Sampler, report the deepest of samples taken (only one drive per sample).</t>
        </r>
      </text>
    </comment>
    <comment ref="H2" authorId="0" shapeId="0" xr:uid="{38CEFC59-D1E0-4572-8DC8-2EC1051D8272}">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700297ED-1E0C-4628-90E2-C0F0A9A6D57D}">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4124305E-3805-45EC-A1A4-5ECD87739E34}">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0797B46E-7D93-4FCD-B149-8F945D8DFC8E}">
      <text>
        <r>
          <rPr>
            <sz val="8"/>
            <color indexed="81"/>
            <rFont val="Tahoma"/>
            <family val="2"/>
          </rPr>
          <t xml:space="preserve">Sipre coring auger=45.6cm2 
large tube 41.05 cm2       
small tube 25.6   cm2          
Snow Metrics 1000 cm^3
</t>
        </r>
      </text>
    </comment>
    <comment ref="A10" authorId="2" shapeId="0" xr:uid="{9B27BD29-C704-4D28-B7F6-D2749B6AE26D}">
      <text>
        <r>
          <rPr>
            <b/>
            <sz val="9"/>
            <color indexed="81"/>
            <rFont val="Tahoma"/>
            <family val="2"/>
          </rPr>
          <t>ehbaker:</t>
        </r>
        <r>
          <rPr>
            <sz val="9"/>
            <color indexed="81"/>
            <rFont val="Tahoma"/>
            <family val="2"/>
          </rPr>
          <t xml:space="preserve">
Depth of penetration into the snowpack of the Federal Sampler from the surface of the snowpack
</t>
        </r>
      </text>
    </comment>
    <comment ref="B10" authorId="2" shapeId="0" xr:uid="{47549AB7-EFE0-44DE-9AF7-4738E61CFA11}">
      <text>
        <r>
          <rPr>
            <b/>
            <sz val="9"/>
            <color indexed="81"/>
            <rFont val="Tahoma"/>
            <family val="2"/>
          </rPr>
          <t>ehbaker:</t>
        </r>
        <r>
          <rPr>
            <sz val="9"/>
            <color indexed="81"/>
            <rFont val="Tahoma"/>
            <family val="2"/>
          </rPr>
          <t xml:space="preserve">
Length of core recovered, as seen through the slotted sides of the Federal Sampler tube</t>
        </r>
      </text>
    </comment>
    <comment ref="C10" authorId="2" shapeId="0" xr:uid="{F7EFFA89-42A9-456E-8423-CF2ED380F648}">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D10" authorId="2" shapeId="0" xr:uid="{911CC2FB-C577-4A36-A54F-5F59C644AEF5}">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H10" authorId="0" shapeId="0" xr:uid="{80EFA717-13A1-40BD-890C-705016195DD7}">
      <text>
        <r>
          <rPr>
            <b/>
            <sz val="9"/>
            <color indexed="81"/>
            <rFont val="Tahoma"/>
            <family val="2"/>
          </rPr>
          <t>cmcneil:</t>
        </r>
        <r>
          <rPr>
            <sz val="9"/>
            <color indexed="81"/>
            <rFont val="Tahoma"/>
            <family val="2"/>
          </rPr>
          <t xml:space="preserve">
What was used to measure snow depth</t>
        </r>
      </text>
    </comment>
    <comment ref="I10" authorId="0" shapeId="0" xr:uid="{4B182797-243F-4808-B6A3-9A649E7F19C3}">
      <text>
        <r>
          <rPr>
            <b/>
            <sz val="9"/>
            <color indexed="81"/>
            <rFont val="Tahoma"/>
            <family val="2"/>
          </rPr>
          <t>cmcneil:</t>
        </r>
        <r>
          <rPr>
            <sz val="9"/>
            <color indexed="81"/>
            <rFont val="Tahoma"/>
            <family val="2"/>
          </rPr>
          <t xml:space="preserve">
snow depth observed</t>
        </r>
      </text>
    </comment>
    <comment ref="O10" authorId="2" shapeId="0" xr:uid="{C5D13B69-549D-48A5-9816-1572CA12B3F5}">
      <text>
        <r>
          <rPr>
            <b/>
            <sz val="9"/>
            <color indexed="81"/>
            <rFont val="Tahoma"/>
            <family val="2"/>
          </rPr>
          <t>ehbaker:</t>
        </r>
        <r>
          <rPr>
            <sz val="9"/>
            <color indexed="81"/>
            <rFont val="Tahoma"/>
            <family val="2"/>
          </rPr>
          <t xml:space="preserve">
Fraction of total snow depth sampled by density measurements. This is the maximum m% (some samples may cover less)</t>
        </r>
      </text>
    </comment>
  </commentList>
</comments>
</file>

<file path=xl/sharedStrings.xml><?xml version="1.0" encoding="utf-8"?>
<sst xmlns="http://schemas.openxmlformats.org/spreadsheetml/2006/main" count="1128" uniqueCount="183">
  <si>
    <t>original calculation</t>
  </si>
  <si>
    <t>13-K17-A30ft</t>
  </si>
  <si>
    <t>NFirn</t>
  </si>
  <si>
    <t>-</t>
  </si>
  <si>
    <t>Estimated</t>
  </si>
  <si>
    <t>13-K17-B30ft</t>
  </si>
  <si>
    <t>13-K17-C30ft</t>
  </si>
  <si>
    <t>07-K17-9M</t>
  </si>
  <si>
    <t>Snow</t>
  </si>
  <si>
    <t>stake buried</t>
  </si>
  <si>
    <t>no data</t>
  </si>
  <si>
    <t>Measured</t>
  </si>
  <si>
    <t>10-K17-6M</t>
  </si>
  <si>
    <t>Nfirn</t>
  </si>
  <si>
    <t>&lt;-----Stake Reading-------&gt;</t>
  </si>
  <si>
    <t>&lt;-----------Snow or New Firn Depth-------------&gt;</t>
  </si>
  <si>
    <t>Summer Surf.</t>
  </si>
  <si>
    <t xml:space="preserve"> &lt;-----Old Firn and Ice Losses------&gt;</t>
  </si>
  <si>
    <t xml:space="preserve"> &lt;-----------NFirn, SIce or Snow Amounts----------------&gt;</t>
  </si>
  <si>
    <t>Seasonal</t>
  </si>
  <si>
    <t>Annual</t>
  </si>
  <si>
    <t>Stake</t>
  </si>
  <si>
    <t>Date</t>
  </si>
  <si>
    <t>Tape</t>
  </si>
  <si>
    <t>Survey</t>
  </si>
  <si>
    <t>Strata</t>
  </si>
  <si>
    <t>Pit/Stake</t>
  </si>
  <si>
    <t>Probe</t>
  </si>
  <si>
    <t>Average</t>
  </si>
  <si>
    <t>n</t>
  </si>
  <si>
    <t>Obsvd.</t>
  </si>
  <si>
    <t>Density</t>
  </si>
  <si>
    <t>Ice</t>
  </si>
  <si>
    <t>Depth</t>
  </si>
  <si>
    <t xml:space="preserve"> Density</t>
  </si>
  <si>
    <r>
      <t>E</t>
    </r>
    <r>
      <rPr>
        <sz val="8"/>
        <color indexed="8"/>
        <rFont val="Century Schoolbook"/>
        <family val="1"/>
      </rPr>
      <t>stimated</t>
    </r>
  </si>
  <si>
    <t xml:space="preserve">"Snow" </t>
  </si>
  <si>
    <t>Balance</t>
  </si>
  <si>
    <t>Name</t>
  </si>
  <si>
    <t>b'</t>
  </si>
  <si>
    <t>b*</t>
  </si>
  <si>
    <t>b**</t>
  </si>
  <si>
    <t>d</t>
  </si>
  <si>
    <t>b'ss</t>
  </si>
  <si>
    <t>r</t>
  </si>
  <si>
    <t>b'(i)</t>
  </si>
  <si>
    <r>
      <t>b</t>
    </r>
    <r>
      <rPr>
        <b/>
        <i/>
        <vertAlign val="subscript"/>
        <sz val="8"/>
        <color indexed="8"/>
        <rFont val="Century Schoolbook"/>
        <family val="1"/>
      </rPr>
      <t>a</t>
    </r>
    <r>
      <rPr>
        <b/>
        <i/>
        <sz val="8"/>
        <color indexed="8"/>
        <rFont val="Century Schoolbook"/>
        <family val="1"/>
      </rPr>
      <t>(i)</t>
    </r>
  </si>
  <si>
    <t>or</t>
  </si>
  <si>
    <r>
      <t>b</t>
    </r>
    <r>
      <rPr>
        <b/>
        <i/>
        <vertAlign val="subscript"/>
        <sz val="8"/>
        <color indexed="8"/>
        <rFont val="Century Schoolbook"/>
        <family val="1"/>
      </rPr>
      <t>n</t>
    </r>
    <r>
      <rPr>
        <b/>
        <i/>
        <sz val="8"/>
        <color indexed="8"/>
        <rFont val="Century Schoolbook"/>
        <family val="1"/>
      </rPr>
      <t>(f)</t>
    </r>
  </si>
  <si>
    <t>bw &amp; bs</t>
  </si>
  <si>
    <t>ba</t>
  </si>
  <si>
    <t>m/d/y</t>
  </si>
  <si>
    <t>m</t>
  </si>
  <si>
    <t xml:space="preserve"> m</t>
  </si>
  <si>
    <t>Ssurf probe compare</t>
  </si>
  <si>
    <t>kg/L</t>
  </si>
  <si>
    <t>m(w)</t>
  </si>
  <si>
    <r>
      <t>M</t>
    </r>
    <r>
      <rPr>
        <sz val="8"/>
        <color indexed="8"/>
        <rFont val="Century Schoolbook"/>
        <family val="1"/>
      </rPr>
      <t>easured</t>
    </r>
  </si>
  <si>
    <t>new calculation</t>
  </si>
  <si>
    <t>Ablation</t>
  </si>
  <si>
    <t>Accumulation</t>
  </si>
  <si>
    <t>Balances</t>
  </si>
  <si>
    <t>Total</t>
  </si>
  <si>
    <t>Above Surface</t>
  </si>
  <si>
    <t>Below Surface</t>
  </si>
  <si>
    <t>At Stake</t>
  </si>
  <si>
    <t>Previous summer surface</t>
  </si>
  <si>
    <t>Stake Length Change</t>
  </si>
  <si>
    <t>Estimated or Measured</t>
  </si>
  <si>
    <r>
      <t>b</t>
    </r>
    <r>
      <rPr>
        <b/>
        <vertAlign val="subscript"/>
        <sz val="10"/>
        <color rgb="FF000000"/>
        <rFont val="Arial"/>
        <family val="2"/>
      </rPr>
      <t>s</t>
    </r>
  </si>
  <si>
    <r>
      <t>b</t>
    </r>
    <r>
      <rPr>
        <b/>
        <vertAlign val="subscript"/>
        <sz val="10"/>
        <color rgb="FF000000"/>
        <rFont val="Arial"/>
        <family val="2"/>
      </rPr>
      <t>w</t>
    </r>
  </si>
  <si>
    <r>
      <t>b</t>
    </r>
    <r>
      <rPr>
        <b/>
        <vertAlign val="subscript"/>
        <sz val="10"/>
        <color rgb="FF000000"/>
        <rFont val="Arial"/>
        <family val="2"/>
      </rPr>
      <t>a</t>
    </r>
  </si>
  <si>
    <t>Winter Ablation</t>
  </si>
  <si>
    <t>Summer Accumulation</t>
  </si>
  <si>
    <t>Comments</t>
  </si>
  <si>
    <t>(fall to fall)</t>
  </si>
  <si>
    <t>g/cm^3</t>
  </si>
  <si>
    <t>m w.e.</t>
  </si>
  <si>
    <t>07-K17</t>
  </si>
  <si>
    <t>New Firn</t>
  </si>
  <si>
    <t>bad measurement</t>
  </si>
  <si>
    <t xml:space="preserve"> Glacier:</t>
  </si>
  <si>
    <t>Kahiltna</t>
  </si>
  <si>
    <t>Total Core Depth(m):</t>
  </si>
  <si>
    <t>* for the federal sampler, this is simply the depth of the deepest density measurement</t>
  </si>
  <si>
    <t>Location:</t>
  </si>
  <si>
    <t>Depth of Previous Year's Summer Surface (m):</t>
  </si>
  <si>
    <t xml:space="preserve"> </t>
  </si>
  <si>
    <t xml:space="preserve">    Date:</t>
  </si>
  <si>
    <t>Average Snow Depth (m):</t>
  </si>
  <si>
    <t xml:space="preserve">  Notebook:</t>
  </si>
  <si>
    <t>Bulk Density (g/cm^3):</t>
  </si>
  <si>
    <t>Sampler Type</t>
  </si>
  <si>
    <t>Federal Sampler</t>
  </si>
  <si>
    <t>Additional Snow Depth Measurements</t>
  </si>
  <si>
    <t>Hobo Temperature Sensors Recovered</t>
  </si>
  <si>
    <t>Density Usability Assessment</t>
  </si>
  <si>
    <t>Depth of Snow Sampled</t>
  </si>
  <si>
    <t>Recovered Core Length</t>
  </si>
  <si>
    <t>Sample Weight</t>
  </si>
  <si>
    <t>Cutter Weight</t>
  </si>
  <si>
    <t>Type of measurement</t>
  </si>
  <si>
    <t>Snow Depth</t>
  </si>
  <si>
    <t>Logger Number</t>
  </si>
  <si>
    <t>Action</t>
  </si>
  <si>
    <t>Time</t>
  </si>
  <si>
    <t>Density Coverage</t>
  </si>
  <si>
    <t>in</t>
  </si>
  <si>
    <t>in w.e.</t>
  </si>
  <si>
    <t>(cm)</t>
  </si>
  <si>
    <t>AK local time</t>
  </si>
  <si>
    <t>fraction</t>
  </si>
  <si>
    <t>Off</t>
  </si>
  <si>
    <t>12:00pm</t>
  </si>
  <si>
    <t>NA</t>
  </si>
  <si>
    <t>K17B</t>
  </si>
  <si>
    <t>2014_06_07_K17B_Field_Datasheet.pdf</t>
  </si>
  <si>
    <t>sone confusion in using sampler in field notes</t>
  </si>
  <si>
    <t>probe</t>
  </si>
  <si>
    <t>probe at pit/stke</t>
  </si>
  <si>
    <t>13-K17B</t>
  </si>
  <si>
    <t>No fall 2013 field visit; unclear where stake measurements came from</t>
  </si>
  <si>
    <t>2014.08.21</t>
  </si>
  <si>
    <t>2014_08_21_K17B_Field_Datasheet.pdf</t>
  </si>
  <si>
    <t>na</t>
  </si>
  <si>
    <t>probe at stake</t>
  </si>
  <si>
    <t>probe to east</t>
  </si>
  <si>
    <t>probe to west</t>
  </si>
  <si>
    <t>recovered</t>
  </si>
  <si>
    <t>installed at snow surface 1.2 m from top of stake</t>
  </si>
  <si>
    <t>installed 1.1 m below top of stake</t>
  </si>
  <si>
    <t>installed 0.6 m below top of stake</t>
  </si>
  <si>
    <t>installed 0.1 m below top of stake</t>
  </si>
  <si>
    <t>not noted</t>
  </si>
  <si>
    <t>"some new snow"; depth not measured</t>
  </si>
  <si>
    <t>Summer surface was hard to determine; other probed depths of shallower layer that could have been summer surface at avg depth of 2.88m. However, matches probed summer surface in Spring 2014 to 1 cm, so trustworthy.</t>
  </si>
  <si>
    <t>present, not measured</t>
  </si>
  <si>
    <t xml:space="preserve">Estimated  </t>
  </si>
  <si>
    <t>SUMMARY:</t>
  </si>
  <si>
    <t>Time-systems</t>
  </si>
  <si>
    <t>Time 1</t>
  </si>
  <si>
    <t>Time 2</t>
  </si>
  <si>
    <t>Time 3</t>
  </si>
  <si>
    <t>stratigraphic</t>
  </si>
  <si>
    <t xml:space="preserve">Measurement Interval: </t>
  </si>
  <si>
    <t>:</t>
  </si>
  <si>
    <t>Winter Balance =</t>
  </si>
  <si>
    <t>Summer Balance =</t>
  </si>
  <si>
    <t>Annual Balance =</t>
  </si>
  <si>
    <t>previous summer accumulation=</t>
  </si>
  <si>
    <t>Winter Ablation=</t>
  </si>
  <si>
    <t>Summer Accumulation=</t>
  </si>
  <si>
    <t>13-K17A</t>
  </si>
  <si>
    <t>NA (new stake)</t>
  </si>
  <si>
    <t>density estimated as 0.30. Measured was 0.22.</t>
  </si>
  <si>
    <t>NA (no notes from fall 2013)</t>
  </si>
  <si>
    <t>no field notes; only info from 'K17A.xls' spreadsheet, and database</t>
  </si>
  <si>
    <t>10-K17</t>
  </si>
  <si>
    <t>no field notes; info from Kahiltna_K17-10.xlsx</t>
  </si>
  <si>
    <t>at stake/pit</t>
  </si>
  <si>
    <t>additional measurement omitted; erroneously low</t>
  </si>
  <si>
    <t>stake not found</t>
  </si>
  <si>
    <t>no density</t>
  </si>
  <si>
    <t>No field notes; all data from Kahiltna_K17A.xlsx</t>
  </si>
  <si>
    <t>Date:</t>
  </si>
  <si>
    <t>Snowdepth (m)</t>
  </si>
  <si>
    <t>New firn</t>
  </si>
  <si>
    <t>no field notes; not sure if any new snow on fall trip</t>
  </si>
  <si>
    <t>13-K17C</t>
  </si>
  <si>
    <t>K17C</t>
  </si>
  <si>
    <t>No field notes; all data from Kahiltna_K17C.xlsx</t>
  </si>
  <si>
    <t>no field notes; info from Kahiltna_K17C.xlsx. Date there said 6/6 not 6/7 but only source that had that.</t>
  </si>
  <si>
    <t>no notes from fall 2014 visit; hard to say if any snow on new firn</t>
  </si>
  <si>
    <t>a</t>
  </si>
  <si>
    <t>b</t>
  </si>
  <si>
    <t>c</t>
  </si>
  <si>
    <t>f</t>
  </si>
  <si>
    <t>g</t>
  </si>
  <si>
    <t>h</t>
  </si>
  <si>
    <t>j</t>
  </si>
  <si>
    <t>kl</t>
  </si>
  <si>
    <t>l</t>
  </si>
  <si>
    <t>No field notes from spring visit; probed depth of 2.8 meters assumed to be bad by R. Burrows (penetrated into firn).  No fall 2014 measurement of the stake.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</si>
</sst>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_)"/>
    <numFmt numFmtId="165" formatCode="mm/dd/yy"/>
    <numFmt numFmtId="166" formatCode="0.000"/>
    <numFmt numFmtId="167" formatCode="??0"/>
    <numFmt numFmtId="168" formatCode="0.0"/>
    <numFmt numFmtId="169" formatCode="mm/dd/yyyy"/>
  </numFmts>
  <fonts count="46" x14ac:knownFonts="1">
    <font>
      <sz val="11"/>
      <color theme="1"/>
      <name val="Calibri"/>
      <family val="2"/>
      <scheme val="minor"/>
    </font>
    <font>
      <sz val="8"/>
      <name val="Arial"/>
      <family val="2"/>
    </font>
    <font>
      <b/>
      <sz val="12"/>
      <name val="Arial"/>
      <family val="2"/>
    </font>
    <font>
      <sz val="8"/>
      <color theme="1" tint="0.499984740745262"/>
      <name val="Arial"/>
      <family val="2"/>
    </font>
    <font>
      <b/>
      <sz val="9"/>
      <color indexed="81"/>
      <name val="Tahoma"/>
      <family val="2"/>
    </font>
    <font>
      <sz val="9"/>
      <color indexed="81"/>
      <name val="Tahoma"/>
      <family val="2"/>
    </font>
    <font>
      <sz val="8"/>
      <color indexed="8"/>
      <name val="Century Schoolbook"/>
      <family val="1"/>
    </font>
    <font>
      <sz val="8"/>
      <name val="Century Schoolbook"/>
      <family val="1"/>
    </font>
    <font>
      <i/>
      <sz val="8"/>
      <color indexed="8"/>
      <name val="Century Schoolbook"/>
      <family val="1"/>
    </font>
    <font>
      <b/>
      <u/>
      <sz val="8"/>
      <color indexed="8"/>
      <name val="Century Schoolbook"/>
      <family val="1"/>
    </font>
    <font>
      <b/>
      <i/>
      <sz val="8"/>
      <color indexed="8"/>
      <name val="Century Schoolbook"/>
      <family val="1"/>
    </font>
    <font>
      <b/>
      <i/>
      <sz val="8"/>
      <color indexed="8"/>
      <name val="Symbol"/>
      <family val="1"/>
      <charset val="2"/>
    </font>
    <font>
      <b/>
      <i/>
      <vertAlign val="subscript"/>
      <sz val="8"/>
      <color indexed="8"/>
      <name val="Century Schoolbook"/>
      <family val="1"/>
    </font>
    <font>
      <b/>
      <i/>
      <sz val="8"/>
      <color indexed="9"/>
      <name val="Century Schoolbook"/>
      <family val="1"/>
    </font>
    <font>
      <b/>
      <sz val="8"/>
      <name val="Arial"/>
      <family val="2"/>
    </font>
    <font>
      <sz val="8"/>
      <color indexed="9"/>
      <name val="Century Schoolbook"/>
      <family val="1"/>
    </font>
    <font>
      <b/>
      <sz val="8"/>
      <color indexed="81"/>
      <name val="Tahoma"/>
      <family val="2"/>
    </font>
    <font>
      <sz val="8"/>
      <color indexed="81"/>
      <name val="Tahoma"/>
      <family val="2"/>
    </font>
    <font>
      <sz val="8"/>
      <color indexed="8"/>
      <name val="Calibri"/>
      <family val="2"/>
      <scheme val="minor"/>
    </font>
    <font>
      <sz val="8"/>
      <name val="Calibri"/>
      <family val="2"/>
      <scheme val="minor"/>
    </font>
    <font>
      <sz val="8"/>
      <color theme="1"/>
      <name val="Calibri"/>
      <family val="2"/>
      <scheme val="minor"/>
    </font>
    <font>
      <b/>
      <sz val="8"/>
      <name val="Calibri"/>
      <family val="2"/>
      <scheme val="minor"/>
    </font>
    <font>
      <b/>
      <sz val="10"/>
      <color rgb="FF000000"/>
      <name val="Arial"/>
      <family val="2"/>
    </font>
    <font>
      <b/>
      <vertAlign val="subscript"/>
      <sz val="10"/>
      <color rgb="FF000000"/>
      <name val="Arial"/>
      <family val="2"/>
    </font>
    <font>
      <b/>
      <sz val="8"/>
      <color theme="1"/>
      <name val="Arial"/>
      <family val="2"/>
    </font>
    <font>
      <sz val="10"/>
      <color theme="1"/>
      <name val="Arial"/>
      <family val="2"/>
    </font>
    <font>
      <sz val="11"/>
      <color theme="1"/>
      <name val="Calibri"/>
      <family val="2"/>
      <scheme val="minor"/>
    </font>
    <font>
      <b/>
      <sz val="10"/>
      <name val="Arial"/>
      <family val="2"/>
    </font>
    <font>
      <sz val="8"/>
      <color indexed="12"/>
      <name val="Arial"/>
      <family val="2"/>
    </font>
    <font>
      <sz val="10"/>
      <color indexed="12"/>
      <name val="Arial"/>
      <family val="2"/>
    </font>
    <font>
      <sz val="8"/>
      <name val="Helv"/>
    </font>
    <font>
      <sz val="10"/>
      <name val="Arial"/>
      <family val="2"/>
    </font>
    <font>
      <sz val="10"/>
      <color rgb="FF0066FF"/>
      <name val="Arial"/>
      <family val="2"/>
    </font>
    <font>
      <b/>
      <sz val="8"/>
      <color rgb="FFFF0000"/>
      <name val="Arial"/>
      <family val="2"/>
    </font>
    <font>
      <b/>
      <sz val="11"/>
      <color rgb="FFFF0000"/>
      <name val="Calibri"/>
      <family val="2"/>
      <scheme val="minor"/>
    </font>
    <font>
      <sz val="11"/>
      <color rgb="FF000000"/>
      <name val="Calibri"/>
      <family val="2"/>
      <scheme val="minor"/>
    </font>
    <font>
      <sz val="8"/>
      <color rgb="FFFF0000"/>
      <name val="Arial"/>
      <family val="2"/>
    </font>
    <font>
      <b/>
      <u/>
      <sz val="18"/>
      <color rgb="FF000000"/>
      <name val="Calibri"/>
      <family val="2"/>
    </font>
    <font>
      <b/>
      <u/>
      <sz val="10"/>
      <name val="Arial"/>
      <family val="2"/>
    </font>
    <font>
      <b/>
      <sz val="10"/>
      <color rgb="FF000000"/>
      <name val="Calibri"/>
      <family val="2"/>
    </font>
    <font>
      <sz val="10"/>
      <color rgb="FF000000"/>
      <name val="Arial"/>
      <family val="2"/>
    </font>
    <font>
      <sz val="8"/>
      <color rgb="FF000000"/>
      <name val="Arial"/>
      <family val="2"/>
    </font>
    <font>
      <sz val="8"/>
      <color theme="1"/>
      <name val="Arial"/>
      <family val="2"/>
    </font>
    <font>
      <sz val="11"/>
      <color rgb="FFFF0000"/>
      <name val="Calibri"/>
      <family val="2"/>
      <scheme val="minor"/>
    </font>
    <font>
      <sz val="8"/>
      <color rgb="FFFF0000"/>
      <name val="Calibri"/>
      <family val="2"/>
      <scheme val="minor"/>
    </font>
    <font>
      <b/>
      <sz val="8"/>
      <color rgb="FF000000"/>
      <name val="Calibri"/>
      <family val="2"/>
    </font>
  </fonts>
  <fills count="16">
    <fill>
      <patternFill patternType="none"/>
    </fill>
    <fill>
      <patternFill patternType="gray125"/>
    </fill>
    <fill>
      <patternFill patternType="solid">
        <fgColor theme="4" tint="0.79998168889431442"/>
        <bgColor indexed="64"/>
      </patternFill>
    </fill>
    <fill>
      <patternFill patternType="solid">
        <fgColor rgb="FFFF0000"/>
        <bgColor indexed="64"/>
      </patternFill>
    </fill>
    <fill>
      <patternFill patternType="solid">
        <fgColor indexed="11"/>
        <bgColor indexed="64"/>
      </patternFill>
    </fill>
    <fill>
      <patternFill patternType="solid">
        <fgColor indexed="46"/>
        <bgColor indexed="64"/>
      </patternFill>
    </fill>
    <fill>
      <patternFill patternType="solid">
        <fgColor indexed="61"/>
        <bgColor indexed="64"/>
      </patternFill>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F00"/>
        <bgColor rgb="FFFFFF00"/>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rgb="FFFF66CC"/>
        <bgColor indexed="64"/>
      </patternFill>
    </fill>
  </fills>
  <borders count="39">
    <border>
      <left/>
      <right/>
      <top/>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rgb="FFFF0000"/>
      </left>
      <right style="thin">
        <color rgb="FFFF0000"/>
      </right>
      <top style="thin">
        <color rgb="FFFF0000"/>
      </top>
      <bottom style="thin">
        <color rgb="FFFF0000"/>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diagonal/>
    </border>
    <border>
      <left/>
      <right style="thin">
        <color indexed="64"/>
      </right>
      <top/>
      <bottom style="medium">
        <color indexed="64"/>
      </bottom>
      <diagonal/>
    </border>
    <border>
      <left style="thin">
        <color rgb="FFFF0000"/>
      </left>
      <right style="thin">
        <color rgb="FFFF0000"/>
      </right>
      <top/>
      <bottom style="thin">
        <color rgb="FFFF0000"/>
      </bottom>
      <diagonal/>
    </border>
    <border>
      <left style="medium">
        <color indexed="64"/>
      </left>
      <right style="medium">
        <color indexed="64"/>
      </right>
      <top style="medium">
        <color indexed="64"/>
      </top>
      <bottom style="medium">
        <color indexed="64"/>
      </bottom>
      <diagonal/>
    </border>
  </borders>
  <cellStyleXfs count="10">
    <xf numFmtId="0" fontId="0" fillId="0" borderId="0"/>
    <xf numFmtId="0" fontId="1" fillId="0" borderId="0" applyNumberFormat="0" applyFill="0" applyBorder="0" applyAlignment="0" applyProtection="0">
      <protection locked="0"/>
    </xf>
    <xf numFmtId="0" fontId="14" fillId="0" borderId="0" applyNumberFormat="0" applyFill="0" applyBorder="0" applyAlignment="0" applyProtection="0">
      <alignment horizontal="left"/>
      <protection locked="0"/>
    </xf>
    <xf numFmtId="0" fontId="28" fillId="0" borderId="0" applyNumberFormat="0" applyFill="0" applyBorder="0" applyAlignment="0" applyProtection="0">
      <alignment horizontal="left"/>
      <protection locked="0"/>
    </xf>
    <xf numFmtId="166" fontId="30" fillId="0" borderId="0" applyFont="0" applyFill="0" applyBorder="0" applyAlignment="0" applyProtection="0"/>
    <xf numFmtId="0" fontId="1" fillId="0" borderId="0" applyNumberFormat="0" applyFill="0" applyBorder="0" applyAlignment="0" applyProtection="0">
      <alignment horizontal="left" vertical="top" wrapText="1"/>
      <protection locked="0"/>
    </xf>
    <xf numFmtId="0" fontId="1" fillId="0" borderId="0" applyNumberFormat="0" applyFill="0" applyBorder="0" applyAlignment="0" applyProtection="0">
      <alignment horizontal="left" vertical="top" wrapText="1"/>
      <protection locked="0"/>
    </xf>
    <xf numFmtId="0" fontId="26" fillId="0" borderId="0"/>
    <xf numFmtId="167" fontId="30" fillId="0" borderId="0" applyFont="0" applyFill="0" applyBorder="0" applyAlignment="0" applyProtection="0">
      <alignment horizontal="left"/>
      <protection locked="0"/>
    </xf>
    <xf numFmtId="0" fontId="1" fillId="0" borderId="0" applyNumberFormat="0" applyFill="0" applyBorder="0" applyAlignment="0" applyProtection="0">
      <protection locked="0"/>
    </xf>
  </cellStyleXfs>
  <cellXfs count="527">
    <xf numFmtId="0" fontId="0" fillId="0" borderId="0" xfId="0"/>
    <xf numFmtId="0" fontId="2" fillId="0" borderId="0" xfId="1" applyFont="1" applyProtection="1"/>
    <xf numFmtId="0" fontId="1" fillId="2" borderId="1" xfId="0" applyFont="1" applyFill="1" applyBorder="1" applyAlignment="1">
      <alignment horizontal="center" vertical="center"/>
    </xf>
    <xf numFmtId="14" fontId="1" fillId="2" borderId="2" xfId="0" applyNumberFormat="1" applyFont="1" applyFill="1" applyBorder="1" applyAlignment="1">
      <alignment horizontal="center" vertical="center"/>
    </xf>
    <xf numFmtId="2" fontId="0" fillId="2" borderId="2" xfId="0" applyNumberFormat="1"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1" fillId="2" borderId="2" xfId="0" applyFont="1" applyFill="1" applyBorder="1" applyAlignment="1">
      <alignment horizontal="center" vertical="center"/>
    </xf>
    <xf numFmtId="2" fontId="0" fillId="2" borderId="3" xfId="0" applyNumberFormat="1" applyFill="1" applyBorder="1" applyAlignment="1">
      <alignment horizontal="center" vertical="center"/>
    </xf>
    <xf numFmtId="2" fontId="1" fillId="2" borderId="4" xfId="0" applyNumberFormat="1" applyFont="1" applyFill="1" applyBorder="1" applyAlignment="1">
      <alignment horizontal="center" vertical="center"/>
    </xf>
    <xf numFmtId="0" fontId="0" fillId="2" borderId="4" xfId="0" applyFill="1" applyBorder="1" applyAlignment="1">
      <alignment horizontal="center" vertical="center"/>
    </xf>
    <xf numFmtId="2" fontId="1" fillId="2" borderId="3" xfId="0" applyNumberFormat="1" applyFont="1" applyFill="1" applyBorder="1" applyAlignment="1">
      <alignment horizontal="center" vertical="center"/>
    </xf>
    <xf numFmtId="2" fontId="0" fillId="2" borderId="4" xfId="0" applyNumberFormat="1" applyFill="1" applyBorder="1" applyAlignment="1">
      <alignment horizontal="center" vertical="center"/>
    </xf>
    <xf numFmtId="2" fontId="0" fillId="2" borderId="5" xfId="0" applyNumberFormat="1" applyFill="1" applyBorder="1" applyAlignment="1">
      <alignment horizontal="center" vertical="center"/>
    </xf>
    <xf numFmtId="0" fontId="1" fillId="2" borderId="6" xfId="0" applyFont="1" applyFill="1" applyBorder="1" applyAlignment="1">
      <alignment horizontal="center" vertical="center"/>
    </xf>
    <xf numFmtId="14" fontId="1" fillId="2" borderId="7" xfId="0" applyNumberFormat="1" applyFont="1" applyFill="1" applyBorder="1" applyAlignment="1">
      <alignment horizontal="center" vertical="center"/>
    </xf>
    <xf numFmtId="2" fontId="1" fillId="2" borderId="7" xfId="0" applyNumberFormat="1"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2" fontId="1" fillId="2" borderId="8" xfId="0" applyNumberFormat="1" applyFont="1" applyFill="1" applyBorder="1" applyAlignment="1">
      <alignment horizontal="center" vertical="center"/>
    </xf>
    <xf numFmtId="2" fontId="1" fillId="2" borderId="5" xfId="0" applyNumberFormat="1" applyFont="1" applyFill="1" applyBorder="1" applyAlignment="1">
      <alignment horizontal="center" vertical="center"/>
    </xf>
    <xf numFmtId="0" fontId="1" fillId="2" borderId="5" xfId="0" applyFont="1" applyFill="1" applyBorder="1" applyAlignment="1">
      <alignment horizontal="center" vertical="center"/>
    </xf>
    <xf numFmtId="2" fontId="0" fillId="2" borderId="8" xfId="0" applyNumberFormat="1" applyFill="1" applyBorder="1" applyAlignment="1">
      <alignment horizontal="center" vertical="center"/>
    </xf>
    <xf numFmtId="0" fontId="0" fillId="2" borderId="9" xfId="0" applyFill="1" applyBorder="1" applyAlignment="1">
      <alignment horizontal="center" vertical="center"/>
    </xf>
    <xf numFmtId="14" fontId="1" fillId="2" borderId="10" xfId="0" applyNumberFormat="1" applyFont="1" applyFill="1" applyBorder="1" applyAlignment="1">
      <alignment horizontal="center" vertical="center"/>
    </xf>
    <xf numFmtId="2" fontId="1" fillId="2" borderId="10" xfId="0" applyNumberFormat="1" applyFont="1" applyFill="1" applyBorder="1" applyAlignment="1">
      <alignment horizontal="center" vertical="center"/>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1" fillId="2" borderId="10" xfId="0" applyFont="1" applyFill="1" applyBorder="1" applyAlignment="1">
      <alignment horizontal="center" vertical="center"/>
    </xf>
    <xf numFmtId="2" fontId="0" fillId="2" borderId="11" xfId="0" applyNumberFormat="1" applyFill="1" applyBorder="1" applyAlignment="1">
      <alignment horizontal="center" vertical="center"/>
    </xf>
    <xf numFmtId="2" fontId="0" fillId="2" borderId="12" xfId="0" applyNumberFormat="1" applyFill="1" applyBorder="1" applyAlignment="1">
      <alignment horizontal="center" vertical="center"/>
    </xf>
    <xf numFmtId="2" fontId="1" fillId="2" borderId="12" xfId="0" applyNumberFormat="1" applyFont="1" applyFill="1" applyBorder="1" applyAlignment="1">
      <alignment horizontal="center" vertical="center"/>
    </xf>
    <xf numFmtId="0" fontId="0" fillId="2" borderId="12" xfId="0" applyFill="1" applyBorder="1" applyAlignment="1">
      <alignment horizontal="center" vertical="center"/>
    </xf>
    <xf numFmtId="0" fontId="1" fillId="0" borderId="13" xfId="0" applyFont="1" applyFill="1" applyBorder="1" applyAlignment="1">
      <alignment horizontal="center" vertical="center"/>
    </xf>
    <xf numFmtId="14" fontId="0" fillId="0" borderId="2" xfId="0" applyNumberFormat="1" applyFill="1" applyBorder="1" applyAlignment="1">
      <alignment horizontal="center" vertical="center"/>
    </xf>
    <xf numFmtId="2" fontId="1" fillId="0" borderId="2" xfId="0" applyNumberFormat="1" applyFont="1" applyFill="1" applyBorder="1"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1" fillId="0" borderId="2" xfId="0" applyFont="1" applyFill="1" applyBorder="1" applyAlignment="1">
      <alignment horizontal="center" vertical="center"/>
    </xf>
    <xf numFmtId="2" fontId="0" fillId="0" borderId="3" xfId="0" applyNumberFormat="1" applyFill="1" applyBorder="1" applyAlignment="1">
      <alignment horizontal="center" vertical="center"/>
    </xf>
    <xf numFmtId="2" fontId="1" fillId="0" borderId="14" xfId="0" applyNumberFormat="1" applyFont="1" applyFill="1" applyBorder="1" applyAlignment="1">
      <alignment horizontal="center" vertical="center"/>
    </xf>
    <xf numFmtId="2" fontId="1" fillId="0" borderId="4" xfId="0" applyNumberFormat="1" applyFont="1" applyFill="1" applyBorder="1" applyAlignment="1">
      <alignment horizontal="center" vertical="center"/>
    </xf>
    <xf numFmtId="2" fontId="1" fillId="3" borderId="4" xfId="0" applyNumberFormat="1" applyFont="1" applyFill="1" applyBorder="1" applyAlignment="1">
      <alignment horizontal="center" vertical="center"/>
    </xf>
    <xf numFmtId="0" fontId="0" fillId="0" borderId="4" xfId="0" applyNumberFormat="1" applyFill="1" applyBorder="1" applyAlignment="1">
      <alignment horizontal="center" vertical="center"/>
    </xf>
    <xf numFmtId="2" fontId="3" fillId="0" borderId="3" xfId="0" applyNumberFormat="1" applyFont="1" applyFill="1" applyBorder="1" applyAlignment="1">
      <alignment horizontal="center" vertical="center"/>
    </xf>
    <xf numFmtId="2" fontId="3" fillId="0" borderId="4" xfId="0" applyNumberFormat="1" applyFont="1" applyFill="1" applyBorder="1" applyAlignment="1">
      <alignment horizontal="center" vertical="center"/>
    </xf>
    <xf numFmtId="2" fontId="0" fillId="0" borderId="4" xfId="0" applyNumberFormat="1" applyFill="1" applyBorder="1" applyAlignment="1">
      <alignment horizontal="center" vertical="center"/>
    </xf>
    <xf numFmtId="2" fontId="1" fillId="0" borderId="3" xfId="0" applyNumberFormat="1" applyFont="1" applyFill="1" applyBorder="1" applyAlignment="1">
      <alignment horizontal="center" vertical="center"/>
    </xf>
    <xf numFmtId="0" fontId="1" fillId="0" borderId="6" xfId="0" applyFont="1" applyFill="1" applyBorder="1" applyAlignment="1">
      <alignment horizontal="center" vertical="center"/>
    </xf>
    <xf numFmtId="14" fontId="0" fillId="0" borderId="7" xfId="0" applyNumberFormat="1" applyFill="1" applyBorder="1" applyAlignment="1">
      <alignment horizontal="center" vertical="center"/>
    </xf>
    <xf numFmtId="2" fontId="1" fillId="0" borderId="7" xfId="0" applyNumberFormat="1" applyFont="1" applyFill="1" applyBorder="1" applyAlignment="1">
      <alignment horizontal="center" vertical="center"/>
    </xf>
    <xf numFmtId="0" fontId="0" fillId="0" borderId="7" xfId="0" applyFill="1" applyBorder="1" applyAlignment="1">
      <alignment horizontal="center" vertical="center"/>
    </xf>
    <xf numFmtId="0" fontId="0" fillId="0" borderId="8" xfId="0" applyFill="1" applyBorder="1" applyAlignment="1">
      <alignment horizontal="center" vertical="center"/>
    </xf>
    <xf numFmtId="0" fontId="1" fillId="0" borderId="7" xfId="0" applyFont="1" applyFill="1" applyBorder="1" applyAlignment="1">
      <alignment horizontal="center" vertical="center"/>
    </xf>
    <xf numFmtId="2" fontId="0" fillId="0" borderId="8" xfId="0" applyNumberFormat="1" applyFill="1" applyBorder="1" applyAlignment="1">
      <alignment horizontal="center" vertical="center"/>
    </xf>
    <xf numFmtId="2" fontId="1" fillId="0" borderId="5" xfId="0" applyNumberFormat="1" applyFont="1" applyFill="1" applyBorder="1" applyAlignment="1">
      <alignment horizontal="center" vertical="center"/>
    </xf>
    <xf numFmtId="2" fontId="0" fillId="0" borderId="5" xfId="0" applyNumberFormat="1" applyFill="1" applyBorder="1" applyAlignment="1">
      <alignment horizontal="center" vertical="center"/>
    </xf>
    <xf numFmtId="2" fontId="1" fillId="3" borderId="5" xfId="0" applyNumberFormat="1" applyFont="1" applyFill="1" applyBorder="1" applyAlignment="1">
      <alignment horizontal="center" vertical="center"/>
    </xf>
    <xf numFmtId="0" fontId="0" fillId="0" borderId="5" xfId="0" applyNumberFormat="1" applyFill="1" applyBorder="1" applyAlignment="1">
      <alignment horizontal="center" vertical="center"/>
    </xf>
    <xf numFmtId="2" fontId="3" fillId="0" borderId="5" xfId="0" applyNumberFormat="1" applyFont="1" applyFill="1" applyBorder="1" applyAlignment="1">
      <alignment horizontal="center" vertical="center"/>
    </xf>
    <xf numFmtId="2" fontId="1" fillId="0" borderId="8" xfId="0" applyNumberFormat="1" applyFont="1" applyFill="1" applyBorder="1" applyAlignment="1">
      <alignment horizontal="center" vertical="center"/>
    </xf>
    <xf numFmtId="0" fontId="1" fillId="0" borderId="1" xfId="0" applyFont="1" applyFill="1" applyBorder="1" applyAlignment="1">
      <alignment horizontal="center" vertical="center"/>
    </xf>
    <xf numFmtId="0" fontId="1" fillId="0" borderId="9" xfId="0" applyFont="1" applyFill="1" applyBorder="1" applyAlignment="1">
      <alignment horizontal="center" vertical="center"/>
    </xf>
    <xf numFmtId="14" fontId="0" fillId="0" borderId="10" xfId="0" applyNumberFormat="1" applyFill="1" applyBorder="1" applyAlignment="1">
      <alignment horizontal="center" vertical="center"/>
    </xf>
    <xf numFmtId="2" fontId="1" fillId="0" borderId="10" xfId="0" applyNumberFormat="1" applyFont="1" applyFill="1" applyBorder="1" applyAlignment="1">
      <alignment horizontal="center" vertical="center"/>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1" fillId="0" borderId="10" xfId="0" applyFont="1" applyFill="1" applyBorder="1" applyAlignment="1">
      <alignment horizontal="center" vertical="center"/>
    </xf>
    <xf numFmtId="2" fontId="0" fillId="0" borderId="11" xfId="0" applyNumberFormat="1" applyFill="1" applyBorder="1" applyAlignment="1">
      <alignment horizontal="center" vertical="center"/>
    </xf>
    <xf numFmtId="2" fontId="1" fillId="0" borderId="12" xfId="0" applyNumberFormat="1" applyFont="1" applyFill="1" applyBorder="1" applyAlignment="1">
      <alignment horizontal="center" vertical="center"/>
    </xf>
    <xf numFmtId="2" fontId="1" fillId="3" borderId="12" xfId="0" applyNumberFormat="1" applyFont="1" applyFill="1" applyBorder="1" applyAlignment="1">
      <alignment horizontal="center" vertical="center"/>
    </xf>
    <xf numFmtId="0" fontId="0" fillId="0" borderId="12" xfId="0" applyNumberFormat="1" applyFill="1" applyBorder="1" applyAlignment="1">
      <alignment horizontal="center" vertical="center"/>
    </xf>
    <xf numFmtId="2" fontId="3" fillId="0" borderId="12" xfId="0" applyNumberFormat="1" applyFont="1" applyFill="1" applyBorder="1" applyAlignment="1">
      <alignment horizontal="center" vertical="center"/>
    </xf>
    <xf numFmtId="2" fontId="0" fillId="0" borderId="12" xfId="0" applyNumberFormat="1" applyFill="1" applyBorder="1" applyAlignment="1">
      <alignment horizontal="center" vertical="center"/>
    </xf>
    <xf numFmtId="2" fontId="1" fillId="0" borderId="11" xfId="0" applyNumberFormat="1" applyFont="1" applyFill="1" applyBorder="1" applyAlignment="1">
      <alignment horizontal="center" vertical="center"/>
    </xf>
    <xf numFmtId="14" fontId="0" fillId="2" borderId="2" xfId="0" applyNumberFormat="1" applyFill="1" applyBorder="1" applyAlignment="1">
      <alignment horizontal="center" vertical="center"/>
    </xf>
    <xf numFmtId="2" fontId="1" fillId="2" borderId="2" xfId="0" applyNumberFormat="1" applyFont="1" applyFill="1" applyBorder="1" applyAlignment="1">
      <alignment horizontal="center" vertical="center"/>
    </xf>
    <xf numFmtId="0" fontId="1" fillId="2" borderId="4" xfId="0" applyFont="1" applyFill="1" applyBorder="1" applyAlignment="1">
      <alignment horizontal="center" vertical="center"/>
    </xf>
    <xf numFmtId="14" fontId="0" fillId="2" borderId="7" xfId="0" applyNumberFormat="1"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5" xfId="0" applyFill="1" applyBorder="1" applyAlignment="1">
      <alignment horizontal="center" vertical="center"/>
    </xf>
    <xf numFmtId="0" fontId="1" fillId="2" borderId="9" xfId="0" applyFont="1" applyFill="1" applyBorder="1" applyAlignment="1">
      <alignment horizontal="center" vertical="center"/>
    </xf>
    <xf numFmtId="14" fontId="0" fillId="2" borderId="10" xfId="0" applyNumberFormat="1" applyFill="1" applyBorder="1" applyAlignment="1">
      <alignment horizontal="center" vertical="center"/>
    </xf>
    <xf numFmtId="2" fontId="1" fillId="2" borderId="11" xfId="0" applyNumberFormat="1" applyFont="1" applyFill="1" applyBorder="1" applyAlignment="1">
      <alignment horizontal="center" vertical="center"/>
    </xf>
    <xf numFmtId="14" fontId="1" fillId="2" borderId="1" xfId="0" applyNumberFormat="1" applyFont="1" applyFill="1" applyBorder="1" applyAlignment="1">
      <alignment horizontal="center" vertical="center"/>
    </xf>
    <xf numFmtId="2" fontId="0" fillId="2" borderId="7" xfId="0" applyNumberFormat="1" applyFill="1" applyBorder="1" applyAlignment="1">
      <alignment horizontal="center" vertical="center"/>
    </xf>
    <xf numFmtId="0" fontId="6" fillId="4" borderId="15" xfId="0" applyFont="1" applyFill="1" applyBorder="1" applyProtection="1">
      <protection locked="0"/>
    </xf>
    <xf numFmtId="0" fontId="6" fillId="4" borderId="16" xfId="0" applyFont="1" applyFill="1" applyBorder="1"/>
    <xf numFmtId="0" fontId="6" fillId="4" borderId="16" xfId="0" applyFont="1" applyFill="1" applyBorder="1" applyAlignment="1">
      <alignment horizontal="centerContinuous"/>
    </xf>
    <xf numFmtId="0" fontId="6" fillId="4" borderId="17" xfId="0" applyFont="1" applyFill="1" applyBorder="1" applyAlignment="1" applyProtection="1">
      <protection locked="0"/>
    </xf>
    <xf numFmtId="0" fontId="0" fillId="4" borderId="0" xfId="0" applyFill="1" applyBorder="1" applyAlignment="1"/>
    <xf numFmtId="0" fontId="6" fillId="0" borderId="18" xfId="0" applyFont="1" applyBorder="1" applyAlignment="1" applyProtection="1">
      <alignment horizontal="left"/>
      <protection locked="0"/>
    </xf>
    <xf numFmtId="0" fontId="7" fillId="0" borderId="18" xfId="0" applyFont="1" applyFill="1" applyBorder="1" applyAlignment="1" applyProtection="1">
      <alignment horizontal="center"/>
      <protection locked="0"/>
    </xf>
    <xf numFmtId="0" fontId="6" fillId="4" borderId="16" xfId="0" applyFont="1" applyFill="1" applyBorder="1" applyAlignment="1" applyProtection="1">
      <alignment horizontal="center"/>
      <protection locked="0"/>
    </xf>
    <xf numFmtId="0" fontId="6" fillId="5" borderId="17" xfId="0" applyFont="1" applyFill="1" applyBorder="1" applyAlignment="1" applyProtection="1">
      <alignment horizontal="center"/>
      <protection locked="0"/>
    </xf>
    <xf numFmtId="0" fontId="6" fillId="4" borderId="17" xfId="0" applyFont="1" applyFill="1" applyBorder="1" applyAlignment="1" applyProtection="1">
      <alignment horizontal="center"/>
      <protection locked="0"/>
    </xf>
    <xf numFmtId="0" fontId="6" fillId="4" borderId="0" xfId="0" applyFont="1" applyFill="1" applyBorder="1" applyAlignment="1" applyProtection="1">
      <alignment horizontal="center"/>
      <protection locked="0"/>
    </xf>
    <xf numFmtId="0" fontId="8" fillId="4" borderId="0" xfId="0" applyFont="1" applyFill="1" applyBorder="1" applyAlignment="1" applyProtection="1">
      <alignment horizontal="center"/>
      <protection locked="0"/>
    </xf>
    <xf numFmtId="1" fontId="8" fillId="4" borderId="0" xfId="0" applyNumberFormat="1" applyFont="1" applyFill="1" applyBorder="1" applyAlignment="1" applyProtection="1">
      <alignment horizontal="center"/>
      <protection locked="0"/>
    </xf>
    <xf numFmtId="0" fontId="6" fillId="0" borderId="17" xfId="0" applyFont="1" applyBorder="1" applyAlignment="1" applyProtection="1">
      <alignment horizontal="center"/>
      <protection locked="0"/>
    </xf>
    <xf numFmtId="0" fontId="6" fillId="0" borderId="0" xfId="0" applyFont="1" applyBorder="1" applyAlignment="1" applyProtection="1">
      <alignment horizontal="center"/>
      <protection locked="0"/>
    </xf>
    <xf numFmtId="0" fontId="6" fillId="0" borderId="0" xfId="0" applyFont="1" applyBorder="1" applyAlignment="1" applyProtection="1">
      <alignment horizontal="left"/>
      <protection locked="0"/>
    </xf>
    <xf numFmtId="164" fontId="6" fillId="4" borderId="0" xfId="0" applyNumberFormat="1" applyFont="1" applyFill="1" applyBorder="1" applyAlignment="1">
      <alignment horizontal="left"/>
    </xf>
    <xf numFmtId="0" fontId="9" fillId="0" borderId="0" xfId="0" applyFont="1" applyBorder="1" applyAlignment="1" applyProtection="1">
      <alignment horizontal="center"/>
      <protection locked="0"/>
    </xf>
    <xf numFmtId="0" fontId="7" fillId="0" borderId="17" xfId="0" applyFont="1" applyFill="1" applyBorder="1" applyAlignment="1" applyProtection="1">
      <alignment horizontal="center"/>
      <protection locked="0"/>
    </xf>
    <xf numFmtId="0" fontId="10" fillId="5" borderId="17" xfId="0" applyFont="1" applyFill="1" applyBorder="1" applyAlignment="1" applyProtection="1">
      <alignment horizontal="center"/>
      <protection locked="0"/>
    </xf>
    <xf numFmtId="0" fontId="10" fillId="5" borderId="0" xfId="0" applyFont="1" applyFill="1" applyBorder="1" applyAlignment="1" applyProtection="1">
      <alignment horizontal="center"/>
      <protection locked="0"/>
    </xf>
    <xf numFmtId="0" fontId="8" fillId="4" borderId="16" xfId="0" applyFont="1" applyFill="1" applyBorder="1" applyAlignment="1">
      <alignment horizontal="center"/>
    </xf>
    <xf numFmtId="0" fontId="10" fillId="4" borderId="17" xfId="0" applyFont="1" applyFill="1" applyBorder="1" applyAlignment="1" applyProtection="1">
      <alignment horizontal="center"/>
      <protection locked="0"/>
    </xf>
    <xf numFmtId="0" fontId="10" fillId="4" borderId="0" xfId="0" applyFont="1" applyFill="1" applyBorder="1" applyAlignment="1" applyProtection="1">
      <alignment horizontal="center"/>
      <protection locked="0"/>
    </xf>
    <xf numFmtId="0" fontId="11" fillId="0" borderId="17" xfId="0" applyFont="1" applyBorder="1" applyAlignment="1" applyProtection="1">
      <alignment horizontal="center"/>
      <protection locked="0"/>
    </xf>
    <xf numFmtId="0" fontId="10" fillId="0" borderId="0" xfId="0" applyFont="1" applyBorder="1" applyAlignment="1" applyProtection="1">
      <alignment horizontal="center"/>
      <protection locked="0"/>
    </xf>
    <xf numFmtId="0" fontId="10" fillId="0" borderId="17" xfId="0" applyFont="1" applyBorder="1" applyAlignment="1" applyProtection="1">
      <alignment horizontal="center"/>
      <protection locked="0"/>
    </xf>
    <xf numFmtId="164" fontId="11" fillId="4" borderId="0" xfId="0" applyNumberFormat="1" applyFont="1" applyFill="1" applyBorder="1" applyAlignment="1" applyProtection="1">
      <alignment horizontal="center"/>
      <protection locked="0"/>
    </xf>
    <xf numFmtId="0" fontId="8" fillId="0" borderId="0" xfId="0" applyFont="1" applyBorder="1" applyAlignment="1" applyProtection="1">
      <alignment horizontal="center"/>
      <protection locked="0"/>
    </xf>
    <xf numFmtId="0" fontId="13" fillId="6" borderId="20" xfId="0" applyFont="1" applyFill="1" applyBorder="1" applyAlignment="1" applyProtection="1">
      <alignment horizontal="center"/>
      <protection locked="0"/>
    </xf>
    <xf numFmtId="0" fontId="6" fillId="4" borderId="21" xfId="0" applyFont="1" applyFill="1" applyBorder="1" applyAlignment="1" applyProtection="1">
      <alignment horizontal="center"/>
      <protection locked="0"/>
    </xf>
    <xf numFmtId="0" fontId="6" fillId="5" borderId="22" xfId="0" applyFont="1" applyFill="1" applyBorder="1" applyAlignment="1" applyProtection="1">
      <alignment horizontal="center"/>
      <protection locked="0"/>
    </xf>
    <xf numFmtId="0" fontId="6" fillId="5" borderId="23" xfId="0" applyFont="1" applyFill="1" applyBorder="1" applyAlignment="1" applyProtection="1">
      <alignment horizontal="center"/>
      <protection locked="0"/>
    </xf>
    <xf numFmtId="0" fontId="6" fillId="4" borderId="21" xfId="0" applyFont="1" applyFill="1" applyBorder="1" applyAlignment="1">
      <alignment horizontal="center"/>
    </xf>
    <xf numFmtId="0" fontId="6" fillId="4" borderId="22" xfId="0" applyFont="1" applyFill="1" applyBorder="1" applyAlignment="1" applyProtection="1">
      <alignment horizontal="center"/>
      <protection locked="0"/>
    </xf>
    <xf numFmtId="0" fontId="6" fillId="4" borderId="23" xfId="0" applyFont="1" applyFill="1" applyBorder="1" applyAlignment="1" applyProtection="1">
      <alignment horizontal="center"/>
      <protection locked="0"/>
    </xf>
    <xf numFmtId="0" fontId="14" fillId="0" borderId="24" xfId="0" applyFont="1" applyFill="1" applyBorder="1" applyAlignment="1">
      <alignment horizontal="center" vertical="center" wrapText="1"/>
    </xf>
    <xf numFmtId="1" fontId="6" fillId="4" borderId="23" xfId="0" applyNumberFormat="1" applyFont="1" applyFill="1" applyBorder="1" applyAlignment="1" applyProtection="1">
      <alignment horizontal="center"/>
      <protection locked="0"/>
    </xf>
    <xf numFmtId="0" fontId="6" fillId="0" borderId="22" xfId="0" applyFont="1" applyBorder="1" applyAlignment="1" applyProtection="1">
      <alignment horizontal="center"/>
      <protection locked="0"/>
    </xf>
    <xf numFmtId="0" fontId="6" fillId="0" borderId="23" xfId="0" applyFont="1" applyBorder="1" applyAlignment="1" applyProtection="1">
      <alignment horizontal="center"/>
      <protection locked="0"/>
    </xf>
    <xf numFmtId="164" fontId="6" fillId="4" borderId="23" xfId="0" applyNumberFormat="1" applyFont="1" applyFill="1" applyBorder="1" applyAlignment="1" applyProtection="1">
      <alignment horizontal="centerContinuous"/>
      <protection locked="0"/>
    </xf>
    <xf numFmtId="0" fontId="9" fillId="0" borderId="23" xfId="0" applyFont="1" applyBorder="1" applyAlignment="1" applyProtection="1">
      <alignment horizontal="center"/>
      <protection locked="0"/>
    </xf>
    <xf numFmtId="0" fontId="15" fillId="6" borderId="25" xfId="0" applyFont="1" applyFill="1" applyBorder="1" applyAlignment="1" applyProtection="1">
      <alignment horizontal="center"/>
      <protection locked="0"/>
    </xf>
    <xf numFmtId="0" fontId="2" fillId="0" borderId="23" xfId="1" applyFont="1" applyBorder="1" applyProtection="1"/>
    <xf numFmtId="165" fontId="18" fillId="0" borderId="23" xfId="0" applyNumberFormat="1" applyFont="1" applyFill="1" applyBorder="1" applyAlignment="1" applyProtection="1">
      <alignment horizontal="center"/>
    </xf>
    <xf numFmtId="164" fontId="18" fillId="0" borderId="23" xfId="0" applyNumberFormat="1" applyFont="1" applyFill="1" applyBorder="1" applyAlignment="1" applyProtection="1">
      <alignment horizontal="left"/>
    </xf>
    <xf numFmtId="2" fontId="19" fillId="0" borderId="23" xfId="0" applyNumberFormat="1" applyFont="1" applyFill="1" applyBorder="1" applyAlignment="1">
      <alignment horizontal="center"/>
    </xf>
    <xf numFmtId="164" fontId="18" fillId="0" borderId="23" xfId="0" applyNumberFormat="1" applyFont="1" applyFill="1" applyBorder="1" applyAlignment="1">
      <alignment horizontal="center"/>
    </xf>
    <xf numFmtId="2" fontId="18" fillId="0" borderId="23" xfId="0" applyNumberFormat="1" applyFont="1" applyFill="1" applyBorder="1" applyAlignment="1">
      <alignment horizontal="center"/>
    </xf>
    <xf numFmtId="1" fontId="18" fillId="0" borderId="23" xfId="0" applyNumberFormat="1" applyFont="1" applyFill="1" applyBorder="1" applyAlignment="1">
      <alignment horizontal="center"/>
    </xf>
    <xf numFmtId="2" fontId="18" fillId="0" borderId="23" xfId="0" applyNumberFormat="1" applyFont="1" applyFill="1" applyBorder="1" applyAlignment="1" applyProtection="1">
      <alignment horizontal="center"/>
    </xf>
    <xf numFmtId="0" fontId="20" fillId="0" borderId="23" xfId="0" applyFont="1" applyFill="1" applyBorder="1"/>
    <xf numFmtId="2" fontId="21" fillId="0" borderId="23" xfId="0" applyNumberFormat="1" applyFont="1" applyFill="1" applyBorder="1" applyAlignment="1" applyProtection="1">
      <alignment horizontal="center" vertical="center"/>
    </xf>
    <xf numFmtId="2" fontId="19" fillId="0" borderId="23" xfId="0" applyNumberFormat="1" applyFont="1" applyFill="1" applyBorder="1" applyAlignment="1" applyProtection="1">
      <alignment horizontal="center" vertical="center"/>
    </xf>
    <xf numFmtId="0" fontId="19" fillId="0" borderId="0" xfId="1" applyFont="1" applyFill="1" applyProtection="1"/>
    <xf numFmtId="0" fontId="19" fillId="0" borderId="0" xfId="1" applyFont="1" applyFill="1" applyBorder="1" applyProtection="1"/>
    <xf numFmtId="0" fontId="1" fillId="4" borderId="16" xfId="1" applyFill="1" applyBorder="1" applyAlignment="1" applyProtection="1">
      <alignment horizontal="center" vertical="center"/>
      <protection locked="0"/>
    </xf>
    <xf numFmtId="0" fontId="1" fillId="4" borderId="16" xfId="1" applyFill="1" applyBorder="1" applyAlignment="1" applyProtection="1">
      <alignment horizontal="center" vertical="center"/>
    </xf>
    <xf numFmtId="0" fontId="1" fillId="0" borderId="16" xfId="1" applyBorder="1" applyAlignment="1" applyProtection="1">
      <alignment horizontal="center" vertical="center"/>
      <protection locked="0"/>
    </xf>
    <xf numFmtId="0" fontId="1" fillId="0" borderId="17" xfId="1" applyBorder="1" applyAlignment="1" applyProtection="1">
      <alignment horizontal="center" vertical="center"/>
      <protection locked="0"/>
    </xf>
    <xf numFmtId="0" fontId="1" fillId="0" borderId="0" xfId="1" applyBorder="1" applyAlignment="1" applyProtection="1">
      <alignment horizontal="center" vertical="center"/>
    </xf>
    <xf numFmtId="0" fontId="1" fillId="0" borderId="27" xfId="1" applyBorder="1" applyAlignment="1" applyProtection="1">
      <alignment horizontal="center" vertical="center"/>
    </xf>
    <xf numFmtId="164" fontId="1" fillId="0" borderId="17" xfId="1" applyNumberFormat="1" applyBorder="1" applyAlignment="1" applyProtection="1">
      <alignment horizontal="center" vertical="center"/>
      <protection locked="0"/>
    </xf>
    <xf numFmtId="0" fontId="1" fillId="0" borderId="17" xfId="1" applyBorder="1" applyAlignment="1" applyProtection="1">
      <alignment horizontal="center" vertical="center"/>
    </xf>
    <xf numFmtId="0" fontId="1" fillId="0" borderId="19" xfId="1" applyBorder="1" applyAlignment="1" applyProtection="1">
      <alignment horizontal="center" vertical="center"/>
    </xf>
    <xf numFmtId="0" fontId="1" fillId="0" borderId="26" xfId="1" applyBorder="1" applyAlignment="1" applyProtection="1">
      <alignment horizontal="center" vertical="center"/>
    </xf>
    <xf numFmtId="0" fontId="1" fillId="5" borderId="17" xfId="1" applyFill="1" applyBorder="1" applyAlignment="1" applyProtection="1">
      <alignment horizontal="center" vertical="center"/>
      <protection locked="0"/>
    </xf>
    <xf numFmtId="0" fontId="1" fillId="5" borderId="0" xfId="1" applyFill="1" applyBorder="1" applyAlignment="1" applyProtection="1">
      <alignment horizontal="center" vertical="center" wrapText="1"/>
    </xf>
    <xf numFmtId="0" fontId="1" fillId="5" borderId="27" xfId="1" applyFill="1" applyBorder="1" applyAlignment="1" applyProtection="1">
      <alignment horizontal="center" vertical="center" wrapText="1"/>
    </xf>
    <xf numFmtId="0" fontId="1" fillId="4" borderId="17" xfId="1" applyFill="1" applyBorder="1" applyAlignment="1" applyProtection="1">
      <alignment horizontal="center" vertical="center"/>
      <protection locked="0"/>
    </xf>
    <xf numFmtId="0" fontId="1" fillId="4" borderId="0" xfId="1" applyFill="1" applyBorder="1" applyAlignment="1" applyProtection="1">
      <alignment horizontal="center" vertical="center"/>
      <protection locked="0"/>
    </xf>
    <xf numFmtId="1" fontId="1" fillId="4" borderId="27" xfId="1" applyNumberFormat="1" applyFill="1" applyBorder="1" applyAlignment="1" applyProtection="1">
      <alignment horizontal="center" vertical="center"/>
      <protection locked="0"/>
    </xf>
    <xf numFmtId="0" fontId="1" fillId="0" borderId="16" xfId="1" applyBorder="1" applyAlignment="1" applyProtection="1">
      <alignment horizontal="center" vertical="center" wrapText="1"/>
      <protection locked="0"/>
    </xf>
    <xf numFmtId="0" fontId="1" fillId="0" borderId="0" xfId="1" applyBorder="1" applyAlignment="1" applyProtection="1">
      <alignment horizontal="center" vertical="center" wrapText="1"/>
      <protection locked="0"/>
    </xf>
    <xf numFmtId="0" fontId="1" fillId="0" borderId="27" xfId="1" applyBorder="1" applyAlignment="1" applyProtection="1">
      <alignment horizontal="center" vertical="center"/>
      <protection locked="0"/>
    </xf>
    <xf numFmtId="164" fontId="1" fillId="4" borderId="0" xfId="1" applyNumberFormat="1" applyFill="1" applyBorder="1" applyAlignment="1" applyProtection="1">
      <alignment horizontal="center" vertical="center"/>
    </xf>
    <xf numFmtId="4" fontId="22" fillId="0" borderId="17" xfId="0" applyNumberFormat="1" applyFont="1" applyBorder="1" applyAlignment="1">
      <alignment horizontal="center" vertical="center"/>
    </xf>
    <xf numFmtId="4" fontId="22" fillId="0" borderId="0" xfId="0" applyNumberFormat="1" applyFont="1" applyBorder="1" applyAlignment="1">
      <alignment horizontal="center" vertical="center"/>
    </xf>
    <xf numFmtId="4" fontId="24" fillId="0" borderId="0" xfId="0" applyNumberFormat="1" applyFont="1" applyBorder="1" applyAlignment="1">
      <alignment horizontal="center" vertical="center" wrapText="1"/>
    </xf>
    <xf numFmtId="0" fontId="14" fillId="0" borderId="27" xfId="1" applyFont="1" applyBorder="1" applyAlignment="1" applyProtection="1">
      <alignment horizontal="center" vertical="center"/>
    </xf>
    <xf numFmtId="0" fontId="1" fillId="0" borderId="0" xfId="1" applyBorder="1" applyAlignment="1" applyProtection="1">
      <alignment horizontal="center" vertical="center"/>
      <protection locked="0"/>
    </xf>
    <xf numFmtId="164" fontId="1" fillId="4" borderId="0" xfId="1" applyNumberFormat="1" applyFill="1" applyBorder="1" applyAlignment="1" applyProtection="1">
      <alignment horizontal="center" vertical="center"/>
      <protection locked="0"/>
    </xf>
    <xf numFmtId="4" fontId="25" fillId="0" borderId="0" xfId="0" applyNumberFormat="1" applyFont="1" applyBorder="1" applyAlignment="1">
      <alignment horizontal="center"/>
    </xf>
    <xf numFmtId="0" fontId="1" fillId="4" borderId="21" xfId="1" applyFill="1" applyBorder="1" applyAlignment="1" applyProtection="1">
      <alignment horizontal="center" vertical="center"/>
      <protection locked="0"/>
    </xf>
    <xf numFmtId="0" fontId="1" fillId="5" borderId="22" xfId="1" applyFill="1" applyBorder="1" applyAlignment="1" applyProtection="1">
      <alignment horizontal="center" vertical="center"/>
      <protection locked="0"/>
    </xf>
    <xf numFmtId="0" fontId="1" fillId="5" borderId="23" xfId="1" applyFill="1" applyBorder="1" applyAlignment="1" applyProtection="1">
      <alignment horizontal="center" vertical="center"/>
      <protection locked="0"/>
    </xf>
    <xf numFmtId="0" fontId="1" fillId="5" borderId="28" xfId="1" applyFill="1" applyBorder="1" applyAlignment="1" applyProtection="1">
      <alignment horizontal="center" vertical="center"/>
      <protection locked="0"/>
    </xf>
    <xf numFmtId="0" fontId="1" fillId="4" borderId="21" xfId="1" applyFill="1" applyBorder="1" applyAlignment="1" applyProtection="1">
      <alignment horizontal="center" vertical="center"/>
    </xf>
    <xf numFmtId="0" fontId="1" fillId="4" borderId="22" xfId="1" applyFill="1" applyBorder="1" applyAlignment="1" applyProtection="1">
      <alignment horizontal="center" vertical="center"/>
      <protection locked="0"/>
    </xf>
    <xf numFmtId="0" fontId="1" fillId="4" borderId="23" xfId="1" applyFill="1" applyBorder="1" applyAlignment="1" applyProtection="1">
      <alignment horizontal="center" vertical="center"/>
      <protection locked="0"/>
    </xf>
    <xf numFmtId="1" fontId="1" fillId="4" borderId="28" xfId="1" applyNumberFormat="1" applyFill="1" applyBorder="1" applyAlignment="1" applyProtection="1">
      <alignment horizontal="center" vertical="center"/>
      <protection locked="0"/>
    </xf>
    <xf numFmtId="0" fontId="1" fillId="0" borderId="22" xfId="1" applyBorder="1" applyAlignment="1" applyProtection="1">
      <alignment horizontal="center" vertical="center"/>
      <protection locked="0"/>
    </xf>
    <xf numFmtId="0" fontId="1" fillId="0" borderId="23" xfId="1" applyBorder="1" applyAlignment="1" applyProtection="1">
      <alignment horizontal="center" vertical="center"/>
      <protection locked="0"/>
    </xf>
    <xf numFmtId="0" fontId="1" fillId="0" borderId="28" xfId="1" applyBorder="1" applyAlignment="1" applyProtection="1">
      <alignment horizontal="center" vertical="center"/>
      <protection locked="0"/>
    </xf>
    <xf numFmtId="164" fontId="1" fillId="4" borderId="23" xfId="1" applyNumberFormat="1" applyFill="1" applyBorder="1" applyAlignment="1" applyProtection="1">
      <alignment horizontal="center" vertical="center"/>
      <protection locked="0"/>
    </xf>
    <xf numFmtId="0" fontId="1" fillId="0" borderId="22" xfId="1" applyBorder="1" applyAlignment="1" applyProtection="1">
      <alignment horizontal="center" vertical="center"/>
    </xf>
    <xf numFmtId="0" fontId="1" fillId="0" borderId="23" xfId="1" applyBorder="1" applyAlignment="1" applyProtection="1">
      <alignment horizontal="center" vertical="center"/>
    </xf>
    <xf numFmtId="0" fontId="1" fillId="0" borderId="28" xfId="1" applyBorder="1" applyAlignment="1" applyProtection="1">
      <alignment horizontal="center" vertical="center"/>
    </xf>
    <xf numFmtId="0" fontId="20" fillId="7" borderId="0" xfId="0" applyFont="1" applyFill="1" applyBorder="1" applyAlignment="1">
      <alignment horizontal="center" vertical="center"/>
    </xf>
    <xf numFmtId="14" fontId="20" fillId="7" borderId="0" xfId="0" applyNumberFormat="1" applyFont="1" applyFill="1" applyAlignment="1">
      <alignment horizontal="center"/>
    </xf>
    <xf numFmtId="0" fontId="20" fillId="7" borderId="0" xfId="0" applyFont="1" applyFill="1" applyAlignment="1">
      <alignment horizontal="center"/>
    </xf>
    <xf numFmtId="0" fontId="1" fillId="0" borderId="0" xfId="1" applyFont="1" applyProtection="1"/>
    <xf numFmtId="14" fontId="1" fillId="8" borderId="1" xfId="0" applyNumberFormat="1" applyFont="1" applyFill="1" applyBorder="1" applyAlignment="1">
      <alignment horizontal="center" vertical="center"/>
    </xf>
    <xf numFmtId="14" fontId="0" fillId="8" borderId="2" xfId="0" applyNumberFormat="1" applyFill="1" applyBorder="1" applyAlignment="1">
      <alignment horizontal="center" vertical="center"/>
    </xf>
    <xf numFmtId="2" fontId="0" fillId="8" borderId="2" xfId="0" applyNumberFormat="1" applyFill="1" applyBorder="1" applyAlignment="1">
      <alignment horizontal="center" vertical="center"/>
    </xf>
    <xf numFmtId="0" fontId="0" fillId="8" borderId="2" xfId="0" applyFill="1" applyBorder="1" applyAlignment="1">
      <alignment horizontal="center" vertical="center"/>
    </xf>
    <xf numFmtId="0" fontId="0" fillId="8" borderId="3" xfId="0" applyFill="1" applyBorder="1" applyAlignment="1">
      <alignment horizontal="center" vertical="center"/>
    </xf>
    <xf numFmtId="0" fontId="1" fillId="8" borderId="2" xfId="0" applyFont="1" applyFill="1" applyBorder="1" applyAlignment="1">
      <alignment horizontal="center" vertical="center"/>
    </xf>
    <xf numFmtId="2" fontId="0" fillId="8" borderId="3" xfId="0" applyNumberFormat="1" applyFill="1" applyBorder="1" applyAlignment="1">
      <alignment horizontal="center" vertical="center"/>
    </xf>
    <xf numFmtId="2" fontId="1" fillId="8" borderId="4" xfId="0" applyNumberFormat="1" applyFont="1" applyFill="1" applyBorder="1" applyAlignment="1">
      <alignment horizontal="center" vertical="center"/>
    </xf>
    <xf numFmtId="0" fontId="1" fillId="8" borderId="4" xfId="0" applyFont="1" applyFill="1" applyBorder="1" applyAlignment="1">
      <alignment horizontal="center" vertical="center"/>
    </xf>
    <xf numFmtId="0" fontId="0" fillId="8" borderId="4" xfId="0" applyFill="1" applyBorder="1" applyAlignment="1">
      <alignment horizontal="center" vertical="center"/>
    </xf>
    <xf numFmtId="2" fontId="1" fillId="8" borderId="3" xfId="0" applyNumberFormat="1" applyFont="1" applyFill="1" applyBorder="1" applyAlignment="1">
      <alignment horizontal="center" vertical="center"/>
    </xf>
    <xf numFmtId="2" fontId="0" fillId="8" borderId="4" xfId="0" applyNumberFormat="1" applyFill="1" applyBorder="1" applyAlignment="1">
      <alignment horizontal="center" vertical="center"/>
    </xf>
    <xf numFmtId="2" fontId="0" fillId="8" borderId="5" xfId="0" applyNumberFormat="1" applyFill="1" applyBorder="1" applyAlignment="1">
      <alignment horizontal="center" vertical="center"/>
    </xf>
    <xf numFmtId="0" fontId="0" fillId="8" borderId="0" xfId="0" applyFill="1"/>
    <xf numFmtId="0" fontId="1" fillId="8" borderId="13" xfId="0" applyFont="1" applyFill="1" applyBorder="1" applyAlignment="1">
      <alignment horizontal="center" vertical="center"/>
    </xf>
    <xf numFmtId="2" fontId="1" fillId="8" borderId="2" xfId="0" applyNumberFormat="1" applyFont="1" applyFill="1" applyBorder="1" applyAlignment="1">
      <alignment horizontal="center" vertical="center"/>
    </xf>
    <xf numFmtId="2" fontId="1" fillId="8" borderId="14" xfId="0" applyNumberFormat="1" applyFont="1" applyFill="1" applyBorder="1" applyAlignment="1">
      <alignment horizontal="center" vertical="center"/>
    </xf>
    <xf numFmtId="0" fontId="0" fillId="8" borderId="4" xfId="0" applyNumberFormat="1" applyFill="1" applyBorder="1" applyAlignment="1">
      <alignment horizontal="center" vertical="center"/>
    </xf>
    <xf numFmtId="2" fontId="3" fillId="8" borderId="3" xfId="0" applyNumberFormat="1" applyFont="1" applyFill="1" applyBorder="1" applyAlignment="1">
      <alignment horizontal="center" vertical="center"/>
    </xf>
    <xf numFmtId="2" fontId="3" fillId="8" borderId="4" xfId="0" applyNumberFormat="1" applyFont="1" applyFill="1" applyBorder="1" applyAlignment="1">
      <alignment horizontal="center" vertical="center"/>
    </xf>
    <xf numFmtId="0" fontId="20" fillId="0" borderId="0" xfId="0" applyFont="1"/>
    <xf numFmtId="0" fontId="27" fillId="0" borderId="19" xfId="2" applyFont="1" applyBorder="1" applyAlignment="1" applyProtection="1">
      <alignment horizontal="right"/>
    </xf>
    <xf numFmtId="0" fontId="27" fillId="0" borderId="0" xfId="1" applyFont="1" applyProtection="1"/>
    <xf numFmtId="1" fontId="29" fillId="0" borderId="19" xfId="3" applyNumberFormat="1" applyFont="1" applyBorder="1" applyAlignment="1" applyProtection="1">
      <alignment horizontal="left"/>
      <protection locked="0"/>
    </xf>
    <xf numFmtId="1" fontId="29" fillId="0" borderId="19" xfId="3" applyNumberFormat="1" applyFont="1" applyBorder="1" applyAlignment="1" applyProtection="1">
      <alignment horizontal="left"/>
    </xf>
    <xf numFmtId="166" fontId="31" fillId="0" borderId="19" xfId="4" applyFont="1" applyBorder="1"/>
    <xf numFmtId="1" fontId="27" fillId="0" borderId="19" xfId="5" applyNumberFormat="1" applyFont="1" applyBorder="1" applyAlignment="1" applyProtection="1">
      <alignment horizontal="right"/>
    </xf>
    <xf numFmtId="2" fontId="31" fillId="0" borderId="19" xfId="5" applyNumberFormat="1" applyFont="1" applyBorder="1" applyAlignment="1" applyProtection="1">
      <alignment horizontal="center"/>
      <protection locked="0"/>
    </xf>
    <xf numFmtId="166" fontId="1" fillId="0" borderId="19" xfId="4" applyFont="1" applyFill="1" applyBorder="1" applyAlignment="1" applyProtection="1">
      <alignment horizontal="left"/>
    </xf>
    <xf numFmtId="0" fontId="14" fillId="0" borderId="0" xfId="1" applyFont="1" applyProtection="1"/>
    <xf numFmtId="0" fontId="14" fillId="0" borderId="0" xfId="1" applyFont="1" applyBorder="1" applyProtection="1"/>
    <xf numFmtId="2" fontId="14" fillId="0" borderId="0" xfId="1" applyNumberFormat="1" applyFont="1" applyProtection="1"/>
    <xf numFmtId="0" fontId="27" fillId="0" borderId="0" xfId="2" applyFont="1" applyBorder="1" applyAlignment="1" applyProtection="1">
      <alignment horizontal="right"/>
    </xf>
    <xf numFmtId="1" fontId="29" fillId="0" borderId="0" xfId="3" applyNumberFormat="1" applyFont="1" applyBorder="1" applyAlignment="1" applyProtection="1">
      <alignment horizontal="left"/>
      <protection locked="0"/>
    </xf>
    <xf numFmtId="1" fontId="29" fillId="0" borderId="0" xfId="3" applyNumberFormat="1" applyFont="1" applyBorder="1" applyAlignment="1" applyProtection="1">
      <alignment horizontal="left"/>
    </xf>
    <xf numFmtId="166" fontId="31" fillId="0" borderId="0" xfId="4" applyFont="1" applyBorder="1"/>
    <xf numFmtId="1" fontId="27" fillId="0" borderId="0" xfId="5" applyNumberFormat="1" applyFont="1" applyBorder="1" applyAlignment="1" applyProtection="1">
      <alignment horizontal="right"/>
    </xf>
    <xf numFmtId="2" fontId="31" fillId="0" borderId="0" xfId="5" applyNumberFormat="1" applyFont="1" applyAlignment="1" applyProtection="1">
      <alignment horizontal="center"/>
    </xf>
    <xf numFmtId="166" fontId="31" fillId="0" borderId="0" xfId="4" applyFont="1" applyFill="1" applyBorder="1" applyAlignment="1" applyProtection="1">
      <alignment horizontal="center"/>
    </xf>
    <xf numFmtId="0" fontId="14" fillId="0" borderId="0" xfId="1" applyFont="1" applyBorder="1" applyAlignment="1" applyProtection="1">
      <alignment horizontal="left"/>
    </xf>
    <xf numFmtId="2" fontId="27" fillId="0" borderId="0" xfId="2" applyNumberFormat="1" applyFont="1" applyBorder="1" applyAlignment="1" applyProtection="1">
      <alignment horizontal="right"/>
    </xf>
    <xf numFmtId="14" fontId="27" fillId="0" borderId="0" xfId="1" applyNumberFormat="1" applyFont="1" applyBorder="1" applyProtection="1"/>
    <xf numFmtId="0" fontId="1" fillId="0" borderId="0" xfId="6" applyFont="1" applyAlignment="1" applyProtection="1">
      <alignment vertical="top"/>
    </xf>
    <xf numFmtId="0" fontId="1" fillId="0" borderId="0" xfId="6" applyFont="1" applyBorder="1" applyAlignment="1" applyProtection="1">
      <alignment vertical="top"/>
    </xf>
    <xf numFmtId="2" fontId="1" fillId="0" borderId="0" xfId="6" applyNumberFormat="1" applyFont="1" applyAlignment="1" applyProtection="1">
      <alignment vertical="top"/>
    </xf>
    <xf numFmtId="0" fontId="31" fillId="0" borderId="0" xfId="0" applyFont="1" applyFill="1" applyBorder="1" applyAlignment="1">
      <alignment horizontal="left"/>
    </xf>
    <xf numFmtId="0" fontId="32" fillId="0" borderId="0" xfId="3" applyFont="1" applyFill="1" applyBorder="1" applyAlignment="1" applyProtection="1">
      <alignment horizontal="left"/>
      <protection locked="0"/>
    </xf>
    <xf numFmtId="0" fontId="14" fillId="0" borderId="0" xfId="1" applyFont="1" applyBorder="1" applyAlignment="1" applyProtection="1">
      <alignment horizontal="center"/>
    </xf>
    <xf numFmtId="0" fontId="25" fillId="0" borderId="0" xfId="7" applyFont="1" applyAlignment="1">
      <alignment horizontal="center"/>
    </xf>
    <xf numFmtId="0" fontId="14" fillId="0" borderId="0" xfId="2" applyFont="1" applyBorder="1" applyAlignment="1" applyProtection="1"/>
    <xf numFmtId="0" fontId="14" fillId="0" borderId="0" xfId="2" applyFont="1" applyAlignment="1" applyProtection="1"/>
    <xf numFmtId="2" fontId="14" fillId="0" borderId="0" xfId="2" applyNumberFormat="1" applyFont="1" applyAlignment="1" applyProtection="1"/>
    <xf numFmtId="166" fontId="1" fillId="0" borderId="0" xfId="4" applyFont="1" applyAlignment="1" applyProtection="1">
      <alignment horizontal="center"/>
    </xf>
    <xf numFmtId="167" fontId="1" fillId="0" borderId="0" xfId="8" applyFont="1" applyBorder="1" applyAlignment="1" applyProtection="1">
      <alignment horizontal="center"/>
    </xf>
    <xf numFmtId="0" fontId="1" fillId="0" borderId="0" xfId="1" applyFont="1" applyBorder="1" applyProtection="1"/>
    <xf numFmtId="2" fontId="1" fillId="0" borderId="0" xfId="1" applyNumberFormat="1" applyFont="1" applyProtection="1"/>
    <xf numFmtId="0" fontId="14" fillId="0" borderId="0" xfId="2" applyFont="1" applyBorder="1" applyAlignment="1" applyProtection="1">
      <alignment horizontal="center"/>
    </xf>
    <xf numFmtId="14" fontId="14" fillId="0" borderId="0" xfId="2" applyNumberFormat="1" applyFont="1" applyBorder="1" applyAlignment="1" applyProtection="1">
      <alignment horizontal="centerContinuous"/>
    </xf>
    <xf numFmtId="166" fontId="1" fillId="0" borderId="23" xfId="4" applyFont="1" applyBorder="1" applyAlignment="1" applyProtection="1">
      <alignment horizontal="center"/>
    </xf>
    <xf numFmtId="167" fontId="1" fillId="0" borderId="0" xfId="8" applyFont="1" applyAlignment="1" applyProtection="1">
      <alignment horizontal="center"/>
    </xf>
    <xf numFmtId="0" fontId="1" fillId="0" borderId="18" xfId="1" applyFont="1" applyBorder="1" applyProtection="1"/>
    <xf numFmtId="0" fontId="1" fillId="0" borderId="19" xfId="1" applyFont="1" applyBorder="1" applyProtection="1"/>
    <xf numFmtId="0" fontId="1" fillId="0" borderId="16" xfId="1" applyFont="1" applyBorder="1" applyProtection="1"/>
    <xf numFmtId="0" fontId="1" fillId="0" borderId="26" xfId="1" applyFont="1" applyBorder="1" applyProtection="1"/>
    <xf numFmtId="0" fontId="14" fillId="0" borderId="18" xfId="1" applyFont="1" applyBorder="1" applyProtection="1"/>
    <xf numFmtId="0" fontId="14" fillId="0" borderId="19" xfId="1" applyFont="1" applyBorder="1" applyProtection="1"/>
    <xf numFmtId="0" fontId="14" fillId="0" borderId="26" xfId="1" applyFont="1" applyBorder="1" applyProtection="1"/>
    <xf numFmtId="0" fontId="14" fillId="0" borderId="17" xfId="2" applyFont="1" applyBorder="1" applyAlignment="1" applyProtection="1">
      <alignment horizontal="center"/>
    </xf>
    <xf numFmtId="167" fontId="14" fillId="0" borderId="0" xfId="8" applyFont="1" applyBorder="1" applyAlignment="1" applyProtection="1">
      <alignment horizontal="center"/>
    </xf>
    <xf numFmtId="0" fontId="24" fillId="0" borderId="0" xfId="9" applyFont="1" applyBorder="1" applyAlignment="1" applyProtection="1"/>
    <xf numFmtId="0" fontId="14" fillId="0" borderId="27" xfId="2" applyFont="1" applyBorder="1" applyAlignment="1" applyProtection="1">
      <alignment horizontal="center"/>
    </xf>
    <xf numFmtId="167" fontId="14" fillId="0" borderId="27" xfId="8" applyFont="1" applyBorder="1" applyAlignment="1" applyProtection="1">
      <alignment horizontal="center"/>
    </xf>
    <xf numFmtId="0" fontId="14" fillId="0" borderId="17" xfId="1" applyFont="1" applyBorder="1" applyAlignment="1" applyProtection="1">
      <alignment horizontal="left"/>
    </xf>
    <xf numFmtId="0" fontId="14" fillId="0" borderId="27" xfId="1" applyFont="1" applyBorder="1" applyAlignment="1" applyProtection="1">
      <alignment horizontal="left"/>
    </xf>
    <xf numFmtId="2" fontId="1" fillId="0" borderId="0" xfId="1" applyNumberFormat="1" applyFont="1" applyBorder="1" applyAlignment="1" applyProtection="1">
      <alignment horizontal="center"/>
    </xf>
    <xf numFmtId="0" fontId="33" fillId="0" borderId="22" xfId="2" applyFont="1" applyBorder="1" applyAlignment="1" applyProtection="1">
      <alignment horizontal="center" vertical="center"/>
    </xf>
    <xf numFmtId="0" fontId="33" fillId="0" borderId="23" xfId="2" applyFont="1" applyBorder="1" applyAlignment="1" applyProtection="1">
      <alignment horizontal="center" vertical="center"/>
    </xf>
    <xf numFmtId="167" fontId="33" fillId="0" borderId="0" xfId="8" applyFont="1" applyBorder="1" applyAlignment="1" applyProtection="1">
      <alignment horizontal="center" vertical="center"/>
    </xf>
    <xf numFmtId="0" fontId="33" fillId="0" borderId="0" xfId="2" applyFont="1" applyBorder="1" applyAlignment="1" applyProtection="1">
      <alignment horizontal="center" vertical="center"/>
    </xf>
    <xf numFmtId="0" fontId="1" fillId="0" borderId="0" xfId="2" applyFont="1" applyBorder="1" applyAlignment="1" applyProtection="1">
      <alignment horizontal="center" vertical="center"/>
    </xf>
    <xf numFmtId="167" fontId="1" fillId="0" borderId="28" xfId="8" applyFont="1" applyBorder="1" applyAlignment="1" applyProtection="1">
      <alignment horizontal="center" vertical="center"/>
    </xf>
    <xf numFmtId="167" fontId="1" fillId="0" borderId="23" xfId="8" applyFont="1" applyBorder="1" applyAlignment="1" applyProtection="1">
      <alignment horizontal="center" vertical="center"/>
    </xf>
    <xf numFmtId="0" fontId="1" fillId="0" borderId="28" xfId="2" applyFont="1" applyBorder="1" applyAlignment="1" applyProtection="1">
      <alignment horizontal="center" vertical="center"/>
    </xf>
    <xf numFmtId="0" fontId="1" fillId="0" borderId="22" xfId="1" applyFont="1" applyBorder="1" applyProtection="1"/>
    <xf numFmtId="0" fontId="1" fillId="0" borderId="23" xfId="1" applyFont="1" applyBorder="1" applyProtection="1"/>
    <xf numFmtId="20" fontId="1" fillId="0" borderId="28" xfId="1" applyNumberFormat="1" applyFont="1" applyBorder="1" applyProtection="1"/>
    <xf numFmtId="2" fontId="1" fillId="0" borderId="19" xfId="4" applyNumberFormat="1" applyFont="1" applyBorder="1" applyAlignment="1" applyProtection="1">
      <alignment horizontal="center"/>
    </xf>
    <xf numFmtId="2" fontId="1" fillId="0" borderId="19" xfId="1" applyNumberFormat="1" applyFont="1" applyBorder="1" applyAlignment="1" applyProtection="1">
      <alignment horizontal="center"/>
    </xf>
    <xf numFmtId="20" fontId="1" fillId="0" borderId="0" xfId="1" applyNumberFormat="1" applyFont="1" applyProtection="1"/>
    <xf numFmtId="2" fontId="1" fillId="0" borderId="0" xfId="4" applyNumberFormat="1" applyFont="1" applyAlignment="1" applyProtection="1">
      <alignment horizontal="center"/>
    </xf>
    <xf numFmtId="2" fontId="1" fillId="0" borderId="0" xfId="1" applyNumberFormat="1" applyFont="1" applyAlignment="1" applyProtection="1">
      <alignment horizontal="center"/>
    </xf>
    <xf numFmtId="0" fontId="1" fillId="0" borderId="0" xfId="1" applyFont="1" applyAlignment="1" applyProtection="1">
      <alignment horizontal="center"/>
    </xf>
    <xf numFmtId="0" fontId="1" fillId="0" borderId="0" xfId="1" applyAlignment="1" applyProtection="1"/>
    <xf numFmtId="0" fontId="14" fillId="0" borderId="0" xfId="2" applyFont="1" applyBorder="1" applyAlignment="1" applyProtection="1">
      <alignment vertical="center"/>
    </xf>
    <xf numFmtId="0" fontId="1" fillId="0" borderId="0" xfId="1" applyBorder="1" applyAlignment="1" applyProtection="1">
      <alignment vertical="center"/>
    </xf>
    <xf numFmtId="0" fontId="34" fillId="0" borderId="0" xfId="0" applyFont="1"/>
    <xf numFmtId="0" fontId="1" fillId="0" borderId="0" xfId="1" applyFont="1" applyAlignment="1" applyProtection="1">
      <alignment vertical="center" wrapText="1"/>
    </xf>
    <xf numFmtId="0" fontId="1" fillId="0" borderId="0" xfId="1" applyAlignment="1" applyProtection="1">
      <alignment vertical="center" wrapText="1"/>
    </xf>
    <xf numFmtId="0" fontId="1" fillId="0" borderId="0" xfId="1" applyFont="1" applyAlignment="1" applyProtection="1">
      <alignment vertical="center"/>
    </xf>
    <xf numFmtId="166" fontId="1" fillId="0" borderId="0" xfId="4" applyFont="1" applyBorder="1" applyAlignment="1" applyProtection="1">
      <alignment horizontal="center"/>
    </xf>
    <xf numFmtId="2" fontId="1" fillId="0" borderId="0" xfId="1" applyNumberFormat="1" applyFont="1" applyBorder="1" applyProtection="1"/>
    <xf numFmtId="1" fontId="1" fillId="0" borderId="0" xfId="1" applyNumberFormat="1" applyFont="1" applyProtection="1"/>
    <xf numFmtId="168" fontId="1" fillId="0" borderId="0" xfId="4" applyNumberFormat="1" applyFont="1" applyAlignment="1" applyProtection="1">
      <alignment horizontal="center"/>
    </xf>
    <xf numFmtId="1" fontId="1" fillId="0" borderId="0" xfId="4" applyNumberFormat="1" applyFont="1" applyAlignment="1" applyProtection="1">
      <alignment horizontal="center"/>
    </xf>
    <xf numFmtId="0" fontId="1" fillId="8" borderId="6" xfId="0" applyFont="1" applyFill="1" applyBorder="1" applyAlignment="1">
      <alignment horizontal="center" vertical="center"/>
    </xf>
    <xf numFmtId="14" fontId="1" fillId="8" borderId="7" xfId="0" applyNumberFormat="1" applyFont="1" applyFill="1" applyBorder="1" applyAlignment="1">
      <alignment horizontal="center" vertical="center"/>
    </xf>
    <xf numFmtId="2" fontId="1" fillId="8" borderId="7" xfId="0" applyNumberFormat="1" applyFont="1" applyFill="1" applyBorder="1" applyAlignment="1">
      <alignment horizontal="center" vertical="center"/>
    </xf>
    <xf numFmtId="0" fontId="1" fillId="8" borderId="7" xfId="0" applyFont="1" applyFill="1" applyBorder="1" applyAlignment="1">
      <alignment horizontal="center" vertical="center"/>
    </xf>
    <xf numFmtId="0" fontId="1" fillId="8" borderId="8" xfId="0" applyFont="1" applyFill="1" applyBorder="1" applyAlignment="1">
      <alignment horizontal="center" vertical="center"/>
    </xf>
    <xf numFmtId="2" fontId="1" fillId="8" borderId="8" xfId="0" applyNumberFormat="1" applyFont="1" applyFill="1" applyBorder="1" applyAlignment="1">
      <alignment horizontal="center" vertical="center"/>
    </xf>
    <xf numFmtId="2" fontId="1" fillId="8" borderId="5" xfId="0" applyNumberFormat="1" applyFont="1" applyFill="1" applyBorder="1" applyAlignment="1">
      <alignment horizontal="center" vertical="center"/>
    </xf>
    <xf numFmtId="0" fontId="1" fillId="8" borderId="5" xfId="0" applyFont="1" applyFill="1" applyBorder="1" applyAlignment="1">
      <alignment horizontal="center" vertical="center"/>
    </xf>
    <xf numFmtId="2" fontId="0" fillId="8" borderId="8" xfId="0" applyNumberFormat="1" applyFill="1" applyBorder="1" applyAlignment="1">
      <alignment horizontal="center" vertical="center"/>
    </xf>
    <xf numFmtId="14" fontId="0" fillId="8" borderId="7" xfId="0" applyNumberFormat="1" applyFill="1" applyBorder="1" applyAlignment="1">
      <alignment horizontal="center" vertical="center"/>
    </xf>
    <xf numFmtId="0" fontId="0" fillId="8" borderId="7" xfId="0" applyFill="1" applyBorder="1" applyAlignment="1">
      <alignment horizontal="center" vertical="center"/>
    </xf>
    <xf numFmtId="0" fontId="0" fillId="8" borderId="8" xfId="0" applyFill="1" applyBorder="1" applyAlignment="1">
      <alignment horizontal="center" vertical="center"/>
    </xf>
    <xf numFmtId="0" fontId="0" fillId="8" borderId="5" xfId="0" applyFill="1" applyBorder="1" applyAlignment="1">
      <alignment horizontal="center" vertical="center"/>
    </xf>
    <xf numFmtId="0" fontId="0" fillId="8" borderId="5" xfId="0" applyNumberFormat="1" applyFill="1" applyBorder="1" applyAlignment="1">
      <alignment horizontal="center" vertical="center"/>
    </xf>
    <xf numFmtId="2" fontId="3" fillId="8" borderId="5" xfId="0" applyNumberFormat="1" applyFont="1" applyFill="1" applyBorder="1" applyAlignment="1">
      <alignment horizontal="center" vertical="center"/>
    </xf>
    <xf numFmtId="0" fontId="1" fillId="7" borderId="0" xfId="1" applyFont="1" applyFill="1" applyBorder="1" applyAlignment="1" applyProtection="1">
      <alignment horizontal="center" vertical="center"/>
      <protection locked="0"/>
    </xf>
    <xf numFmtId="14" fontId="1" fillId="7" borderId="0" xfId="1" applyNumberFormat="1" applyFont="1" applyFill="1" applyBorder="1" applyAlignment="1" applyProtection="1">
      <alignment horizontal="center" vertical="center"/>
      <protection locked="0"/>
    </xf>
    <xf numFmtId="4" fontId="20" fillId="7" borderId="0" xfId="0" applyNumberFormat="1" applyFont="1" applyFill="1" applyBorder="1" applyAlignment="1">
      <alignment horizontal="center" vertical="center"/>
    </xf>
    <xf numFmtId="0" fontId="1" fillId="7" borderId="0" xfId="1" applyFont="1" applyFill="1" applyBorder="1" applyAlignment="1" applyProtection="1">
      <alignment horizontal="center" vertical="center"/>
    </xf>
    <xf numFmtId="1" fontId="1" fillId="7" borderId="0" xfId="1" applyNumberFormat="1" applyFont="1" applyFill="1" applyBorder="1" applyAlignment="1" applyProtection="1">
      <alignment horizontal="center" vertical="center"/>
      <protection locked="0"/>
    </xf>
    <xf numFmtId="0" fontId="1" fillId="7" borderId="0" xfId="1" applyFont="1" applyFill="1" applyBorder="1" applyAlignment="1" applyProtection="1">
      <alignment horizontal="left" vertical="center"/>
    </xf>
    <xf numFmtId="0" fontId="1" fillId="9" borderId="0" xfId="1" applyFont="1" applyFill="1" applyBorder="1" applyAlignment="1" applyProtection="1">
      <alignment horizontal="center" vertical="center"/>
      <protection locked="0"/>
    </xf>
    <xf numFmtId="0" fontId="35" fillId="0" borderId="0" xfId="0" applyFont="1"/>
    <xf numFmtId="0" fontId="1" fillId="0" borderId="0" xfId="1" applyFont="1" applyAlignment="1" applyProtection="1">
      <alignment wrapText="1"/>
    </xf>
    <xf numFmtId="14" fontId="20" fillId="7" borderId="0" xfId="0" applyNumberFormat="1" applyFont="1" applyFill="1" applyAlignment="1">
      <alignment horizontal="center" vertical="center"/>
    </xf>
    <xf numFmtId="0" fontId="20" fillId="7" borderId="0" xfId="0" applyFont="1" applyFill="1" applyAlignment="1">
      <alignment horizontal="center" vertical="center"/>
    </xf>
    <xf numFmtId="2" fontId="20" fillId="7" borderId="0" xfId="0" applyNumberFormat="1" applyFont="1" applyFill="1" applyAlignment="1">
      <alignment horizontal="center" vertical="center"/>
    </xf>
    <xf numFmtId="4" fontId="20" fillId="7" borderId="0" xfId="0" applyNumberFormat="1" applyFont="1" applyFill="1" applyAlignment="1">
      <alignment horizontal="center" vertical="center"/>
    </xf>
    <xf numFmtId="0" fontId="20" fillId="7" borderId="0" xfId="0" applyFont="1" applyFill="1" applyAlignment="1">
      <alignment horizontal="center" vertical="center" wrapText="1"/>
    </xf>
    <xf numFmtId="0" fontId="20" fillId="7" borderId="0" xfId="0" applyFont="1" applyFill="1" applyAlignment="1">
      <alignment vertical="center"/>
    </xf>
    <xf numFmtId="14" fontId="20" fillId="9" borderId="0" xfId="0" applyNumberFormat="1" applyFont="1" applyFill="1" applyAlignment="1">
      <alignment vertical="center"/>
    </xf>
    <xf numFmtId="0" fontId="20" fillId="9" borderId="0" xfId="0" applyFont="1" applyFill="1" applyAlignment="1">
      <alignment vertical="center"/>
    </xf>
    <xf numFmtId="4" fontId="20" fillId="9" borderId="0" xfId="0" applyNumberFormat="1" applyFont="1" applyFill="1" applyAlignment="1">
      <alignment vertical="center"/>
    </xf>
    <xf numFmtId="2" fontId="20" fillId="9" borderId="0" xfId="0" applyNumberFormat="1" applyFont="1" applyFill="1" applyAlignment="1">
      <alignment vertical="center"/>
    </xf>
    <xf numFmtId="0" fontId="20" fillId="9" borderId="0" xfId="0" applyFont="1" applyFill="1" applyAlignment="1">
      <alignment horizontal="center" vertical="center"/>
    </xf>
    <xf numFmtId="4" fontId="27" fillId="8" borderId="19" xfId="0" applyNumberFormat="1" applyFont="1" applyFill="1" applyBorder="1" applyAlignment="1">
      <alignment horizontal="center"/>
    </xf>
    <xf numFmtId="0" fontId="27" fillId="8" borderId="19" xfId="0" applyFont="1" applyFill="1" applyBorder="1"/>
    <xf numFmtId="4" fontId="27" fillId="8" borderId="26" xfId="0" applyNumberFormat="1" applyFont="1" applyFill="1" applyBorder="1" applyAlignment="1">
      <alignment horizontal="center"/>
    </xf>
    <xf numFmtId="0" fontId="39" fillId="10" borderId="33" xfId="0" applyFont="1" applyFill="1" applyBorder="1"/>
    <xf numFmtId="169" fontId="39" fillId="10" borderId="33" xfId="0" applyNumberFormat="1" applyFont="1" applyFill="1" applyBorder="1"/>
    <xf numFmtId="0" fontId="39" fillId="10" borderId="33" xfId="0" applyFont="1" applyFill="1" applyBorder="1" applyAlignment="1">
      <alignment horizontal="center"/>
    </xf>
    <xf numFmtId="169" fontId="27" fillId="8" borderId="33" xfId="0" applyNumberFormat="1" applyFont="1" applyFill="1" applyBorder="1"/>
    <xf numFmtId="14" fontId="39" fillId="10" borderId="34" xfId="0" applyNumberFormat="1" applyFont="1" applyFill="1" applyBorder="1"/>
    <xf numFmtId="0" fontId="40" fillId="10" borderId="17" xfId="0" applyFont="1" applyFill="1" applyBorder="1"/>
    <xf numFmtId="2" fontId="40" fillId="10" borderId="0" xfId="0" applyNumberFormat="1" applyFont="1" applyFill="1" applyBorder="1"/>
    <xf numFmtId="0" fontId="40" fillId="10" borderId="0" xfId="0" applyFont="1" applyFill="1" applyBorder="1"/>
    <xf numFmtId="0" fontId="0" fillId="8" borderId="0" xfId="0" applyFill="1" applyBorder="1"/>
    <xf numFmtId="0" fontId="40" fillId="10" borderId="27" xfId="0" applyFont="1" applyFill="1" applyBorder="1"/>
    <xf numFmtId="0" fontId="40" fillId="10" borderId="22" xfId="0" applyFont="1" applyFill="1" applyBorder="1"/>
    <xf numFmtId="2" fontId="40" fillId="10" borderId="23" xfId="0" applyNumberFormat="1" applyFont="1" applyFill="1" applyBorder="1"/>
    <xf numFmtId="0" fontId="40" fillId="10" borderId="23" xfId="0" applyFont="1" applyFill="1" applyBorder="1"/>
    <xf numFmtId="4" fontId="40" fillId="10" borderId="23" xfId="0" applyNumberFormat="1" applyFont="1" applyFill="1" applyBorder="1"/>
    <xf numFmtId="0" fontId="40" fillId="10" borderId="28" xfId="0" applyFont="1" applyFill="1" applyBorder="1"/>
    <xf numFmtId="0" fontId="41" fillId="10" borderId="35" xfId="0" applyFont="1" applyFill="1" applyBorder="1" applyAlignment="1">
      <alignment horizontal="right"/>
    </xf>
    <xf numFmtId="0" fontId="42" fillId="8" borderId="35" xfId="0" applyFont="1" applyFill="1" applyBorder="1" applyAlignment="1">
      <alignment horizontal="right"/>
    </xf>
    <xf numFmtId="0" fontId="20" fillId="8" borderId="35" xfId="0" applyFont="1" applyFill="1" applyBorder="1" applyAlignment="1">
      <alignment horizontal="right"/>
    </xf>
    <xf numFmtId="0" fontId="20" fillId="8" borderId="36" xfId="0" applyFont="1" applyFill="1" applyBorder="1" applyAlignment="1">
      <alignment horizontal="right"/>
    </xf>
    <xf numFmtId="2" fontId="20" fillId="7" borderId="0" xfId="0" applyNumberFormat="1" applyFont="1" applyFill="1" applyAlignment="1">
      <alignment horizontal="center"/>
    </xf>
    <xf numFmtId="0" fontId="1" fillId="2" borderId="0" xfId="1" applyFont="1" applyFill="1" applyAlignment="1" applyProtection="1">
      <alignment horizontal="center"/>
    </xf>
    <xf numFmtId="14" fontId="1" fillId="2" borderId="0" xfId="1" applyNumberFormat="1" applyFont="1" applyFill="1" applyAlignment="1" applyProtection="1">
      <alignment horizontal="center"/>
    </xf>
    <xf numFmtId="0" fontId="1" fillId="2" borderId="0" xfId="1" applyFont="1" applyFill="1" applyAlignment="1" applyProtection="1">
      <alignment horizontal="left"/>
    </xf>
    <xf numFmtId="14" fontId="20" fillId="9" borderId="0" xfId="0" applyNumberFormat="1" applyFont="1" applyFill="1" applyAlignment="1">
      <alignment horizontal="center"/>
    </xf>
    <xf numFmtId="0" fontId="20" fillId="9" borderId="0" xfId="0" applyFont="1" applyFill="1" applyAlignment="1">
      <alignment horizontal="center"/>
    </xf>
    <xf numFmtId="0" fontId="20" fillId="9" borderId="0" xfId="0" applyFont="1" applyFill="1" applyAlignment="1">
      <alignment horizontal="left"/>
    </xf>
    <xf numFmtId="0" fontId="20" fillId="7" borderId="0" xfId="0" applyFont="1" applyFill="1" applyAlignment="1">
      <alignment horizontal="left"/>
    </xf>
    <xf numFmtId="0" fontId="1" fillId="11" borderId="1" xfId="0" applyFont="1" applyFill="1" applyBorder="1" applyAlignment="1">
      <alignment horizontal="center" vertical="center"/>
    </xf>
    <xf numFmtId="14" fontId="0" fillId="11" borderId="2" xfId="0" applyNumberFormat="1" applyFill="1" applyBorder="1" applyAlignment="1">
      <alignment horizontal="center" vertical="center"/>
    </xf>
    <xf numFmtId="2" fontId="1" fillId="11" borderId="2" xfId="0" applyNumberFormat="1" applyFont="1" applyFill="1" applyBorder="1" applyAlignment="1">
      <alignment horizontal="center" vertical="center"/>
    </xf>
    <xf numFmtId="0" fontId="0" fillId="11" borderId="2" xfId="0" applyFill="1" applyBorder="1" applyAlignment="1">
      <alignment horizontal="center" vertical="center"/>
    </xf>
    <xf numFmtId="0" fontId="0" fillId="11" borderId="3" xfId="0" applyFill="1" applyBorder="1" applyAlignment="1">
      <alignment horizontal="center" vertical="center"/>
    </xf>
    <xf numFmtId="0" fontId="1" fillId="11" borderId="2" xfId="0" applyFont="1" applyFill="1" applyBorder="1" applyAlignment="1">
      <alignment horizontal="center" vertical="center"/>
    </xf>
    <xf numFmtId="2" fontId="0" fillId="11" borderId="3" xfId="0" applyNumberFormat="1" applyFill="1" applyBorder="1" applyAlignment="1">
      <alignment horizontal="center" vertical="center"/>
    </xf>
    <xf numFmtId="2" fontId="1" fillId="11" borderId="4" xfId="0" applyNumberFormat="1" applyFont="1" applyFill="1" applyBorder="1" applyAlignment="1">
      <alignment horizontal="center" vertical="center"/>
    </xf>
    <xf numFmtId="0" fontId="0" fillId="11" borderId="4" xfId="0" applyNumberFormat="1" applyFill="1" applyBorder="1" applyAlignment="1">
      <alignment horizontal="center" vertical="center"/>
    </xf>
    <xf numFmtId="2" fontId="3" fillId="11" borderId="3" xfId="0" applyNumberFormat="1" applyFont="1" applyFill="1" applyBorder="1" applyAlignment="1">
      <alignment horizontal="center" vertical="center"/>
    </xf>
    <xf numFmtId="2" fontId="3" fillId="11" borderId="4" xfId="0" applyNumberFormat="1" applyFont="1" applyFill="1" applyBorder="1" applyAlignment="1">
      <alignment horizontal="center" vertical="center"/>
    </xf>
    <xf numFmtId="2" fontId="0" fillId="11" borderId="4" xfId="0" applyNumberFormat="1" applyFill="1" applyBorder="1" applyAlignment="1">
      <alignment horizontal="center" vertical="center"/>
    </xf>
    <xf numFmtId="2" fontId="1" fillId="11" borderId="3" xfId="0" applyNumberFormat="1" applyFont="1" applyFill="1" applyBorder="1" applyAlignment="1">
      <alignment horizontal="center" vertical="center"/>
    </xf>
    <xf numFmtId="0" fontId="0" fillId="11" borderId="0" xfId="0" applyFill="1"/>
    <xf numFmtId="0" fontId="1" fillId="11" borderId="6" xfId="0" applyFont="1" applyFill="1" applyBorder="1" applyAlignment="1">
      <alignment horizontal="center" vertical="center"/>
    </xf>
    <xf numFmtId="14" fontId="0" fillId="11" borderId="7" xfId="0" applyNumberFormat="1" applyFill="1" applyBorder="1" applyAlignment="1">
      <alignment horizontal="center" vertical="center"/>
    </xf>
    <xf numFmtId="2" fontId="1" fillId="11" borderId="7" xfId="0" applyNumberFormat="1" applyFont="1" applyFill="1" applyBorder="1" applyAlignment="1">
      <alignment horizontal="center" vertical="center"/>
    </xf>
    <xf numFmtId="0" fontId="0" fillId="11" borderId="7" xfId="0" applyFill="1" applyBorder="1" applyAlignment="1">
      <alignment horizontal="center" vertical="center"/>
    </xf>
    <xf numFmtId="0" fontId="0" fillId="11" borderId="8" xfId="0" applyFill="1" applyBorder="1" applyAlignment="1">
      <alignment horizontal="center" vertical="center"/>
    </xf>
    <xf numFmtId="0" fontId="1" fillId="11" borderId="7" xfId="0" applyFont="1" applyFill="1" applyBorder="1" applyAlignment="1">
      <alignment horizontal="center" vertical="center"/>
    </xf>
    <xf numFmtId="2" fontId="1" fillId="11" borderId="8" xfId="0" applyNumberFormat="1" applyFont="1" applyFill="1" applyBorder="1" applyAlignment="1">
      <alignment horizontal="center" vertical="center"/>
    </xf>
    <xf numFmtId="2" fontId="1" fillId="11" borderId="5" xfId="0" applyNumberFormat="1" applyFont="1" applyFill="1" applyBorder="1" applyAlignment="1">
      <alignment horizontal="center" vertical="center"/>
    </xf>
    <xf numFmtId="0" fontId="0" fillId="11" borderId="5" xfId="0" applyFill="1" applyBorder="1" applyAlignment="1">
      <alignment horizontal="center" vertical="center"/>
    </xf>
    <xf numFmtId="2" fontId="0" fillId="11" borderId="5" xfId="0" applyNumberFormat="1" applyFill="1" applyBorder="1" applyAlignment="1">
      <alignment horizontal="center" vertical="center"/>
    </xf>
    <xf numFmtId="2" fontId="0" fillId="11" borderId="8" xfId="0" applyNumberFormat="1" applyFill="1" applyBorder="1" applyAlignment="1">
      <alignment horizontal="center" vertical="center"/>
    </xf>
    <xf numFmtId="0" fontId="1" fillId="12" borderId="6" xfId="0" applyFont="1" applyFill="1" applyBorder="1" applyAlignment="1">
      <alignment horizontal="center" vertical="center"/>
    </xf>
    <xf numFmtId="14" fontId="1" fillId="12" borderId="7" xfId="0" applyNumberFormat="1" applyFont="1" applyFill="1" applyBorder="1" applyAlignment="1">
      <alignment horizontal="center" vertical="center"/>
    </xf>
    <xf numFmtId="2" fontId="0" fillId="12" borderId="7" xfId="0" applyNumberFormat="1" applyFill="1" applyBorder="1" applyAlignment="1">
      <alignment horizontal="center" vertical="center"/>
    </xf>
    <xf numFmtId="0" fontId="0" fillId="12" borderId="7" xfId="0" applyFill="1" applyBorder="1" applyAlignment="1">
      <alignment horizontal="center" vertical="center"/>
    </xf>
    <xf numFmtId="0" fontId="0" fillId="12" borderId="8" xfId="0" applyFill="1" applyBorder="1" applyAlignment="1">
      <alignment horizontal="center" vertical="center"/>
    </xf>
    <xf numFmtId="0" fontId="1" fillId="12" borderId="7" xfId="0" applyFont="1" applyFill="1" applyBorder="1" applyAlignment="1">
      <alignment horizontal="center" vertical="center"/>
    </xf>
    <xf numFmtId="2" fontId="0" fillId="12" borderId="8" xfId="0" applyNumberFormat="1" applyFill="1" applyBorder="1" applyAlignment="1">
      <alignment horizontal="center" vertical="center"/>
    </xf>
    <xf numFmtId="2" fontId="1" fillId="12" borderId="5" xfId="0" applyNumberFormat="1" applyFont="1" applyFill="1" applyBorder="1" applyAlignment="1">
      <alignment horizontal="center" vertical="center"/>
    </xf>
    <xf numFmtId="0" fontId="1" fillId="12" borderId="5" xfId="0" applyFont="1" applyFill="1" applyBorder="1" applyAlignment="1">
      <alignment horizontal="center" vertical="center"/>
    </xf>
    <xf numFmtId="0" fontId="0" fillId="12" borderId="5" xfId="0" applyFill="1" applyBorder="1" applyAlignment="1">
      <alignment horizontal="center" vertical="center"/>
    </xf>
    <xf numFmtId="2" fontId="1" fillId="12" borderId="3" xfId="0" applyNumberFormat="1" applyFont="1" applyFill="1" applyBorder="1" applyAlignment="1">
      <alignment horizontal="center" vertical="center"/>
    </xf>
    <xf numFmtId="2" fontId="0" fillId="12" borderId="5" xfId="0" applyNumberFormat="1" applyFill="1" applyBorder="1" applyAlignment="1">
      <alignment horizontal="center" vertical="center"/>
    </xf>
    <xf numFmtId="0" fontId="0" fillId="12" borderId="0" xfId="0" applyFill="1"/>
    <xf numFmtId="0" fontId="1" fillId="13" borderId="6" xfId="0" applyFont="1" applyFill="1" applyBorder="1" applyAlignment="1">
      <alignment horizontal="center" vertical="center"/>
    </xf>
    <xf numFmtId="14" fontId="0" fillId="13" borderId="7" xfId="0" applyNumberFormat="1" applyFill="1" applyBorder="1" applyAlignment="1">
      <alignment horizontal="center" vertical="center"/>
    </xf>
    <xf numFmtId="2" fontId="1" fillId="13" borderId="7" xfId="0" applyNumberFormat="1" applyFont="1" applyFill="1" applyBorder="1" applyAlignment="1">
      <alignment horizontal="center" vertical="center"/>
    </xf>
    <xf numFmtId="0" fontId="0" fillId="13" borderId="7" xfId="0" applyFill="1" applyBorder="1" applyAlignment="1">
      <alignment horizontal="center" vertical="center"/>
    </xf>
    <xf numFmtId="0" fontId="0" fillId="13" borderId="8" xfId="0" applyFill="1" applyBorder="1" applyAlignment="1">
      <alignment horizontal="center" vertical="center"/>
    </xf>
    <xf numFmtId="0" fontId="1" fillId="13" borderId="7" xfId="0" applyFont="1" applyFill="1" applyBorder="1" applyAlignment="1">
      <alignment horizontal="center" vertical="center"/>
    </xf>
    <xf numFmtId="2" fontId="1" fillId="13" borderId="8" xfId="0" applyNumberFormat="1" applyFont="1" applyFill="1" applyBorder="1" applyAlignment="1">
      <alignment horizontal="center" vertical="center"/>
    </xf>
    <xf numFmtId="2" fontId="1" fillId="13" borderId="5" xfId="0" applyNumberFormat="1" applyFont="1" applyFill="1" applyBorder="1" applyAlignment="1">
      <alignment horizontal="center" vertical="center"/>
    </xf>
    <xf numFmtId="0" fontId="0" fillId="13" borderId="5" xfId="0" applyFill="1" applyBorder="1" applyAlignment="1">
      <alignment horizontal="center" vertical="center"/>
    </xf>
    <xf numFmtId="2" fontId="0" fillId="13" borderId="5" xfId="0" applyNumberFormat="1" applyFill="1" applyBorder="1" applyAlignment="1">
      <alignment horizontal="center" vertical="center"/>
    </xf>
    <xf numFmtId="2" fontId="0" fillId="13" borderId="8" xfId="0" applyNumberFormat="1" applyFill="1" applyBorder="1" applyAlignment="1">
      <alignment horizontal="center" vertical="center"/>
    </xf>
    <xf numFmtId="0" fontId="0" fillId="13" borderId="0" xfId="0" applyFill="1"/>
    <xf numFmtId="0" fontId="1" fillId="0" borderId="0" xfId="1" applyFont="1" applyAlignment="1" applyProtection="1">
      <alignment horizontal="left"/>
    </xf>
    <xf numFmtId="0" fontId="1" fillId="9" borderId="0" xfId="1" applyFont="1" applyFill="1" applyProtection="1"/>
    <xf numFmtId="14" fontId="1" fillId="9" borderId="0" xfId="1" applyNumberFormat="1" applyFont="1" applyFill="1" applyProtection="1"/>
    <xf numFmtId="2" fontId="1" fillId="9" borderId="0" xfId="1" applyNumberFormat="1" applyFont="1" applyFill="1" applyProtection="1"/>
    <xf numFmtId="0" fontId="1" fillId="9" borderId="0" xfId="1" applyFont="1" applyFill="1" applyAlignment="1" applyProtection="1">
      <alignment horizontal="center"/>
    </xf>
    <xf numFmtId="0" fontId="1" fillId="14" borderId="6" xfId="0" applyFont="1" applyFill="1" applyBorder="1" applyAlignment="1">
      <alignment horizontal="center" vertical="center"/>
    </xf>
    <xf numFmtId="14" fontId="0" fillId="14" borderId="7" xfId="0" applyNumberFormat="1" applyFill="1" applyBorder="1" applyAlignment="1">
      <alignment horizontal="center" vertical="center"/>
    </xf>
    <xf numFmtId="2" fontId="1" fillId="14" borderId="7" xfId="0" applyNumberFormat="1" applyFont="1" applyFill="1" applyBorder="1" applyAlignment="1">
      <alignment horizontal="center" vertical="center"/>
    </xf>
    <xf numFmtId="0" fontId="0" fillId="14" borderId="7" xfId="0" applyFill="1" applyBorder="1" applyAlignment="1">
      <alignment horizontal="center" vertical="center"/>
    </xf>
    <xf numFmtId="0" fontId="0" fillId="14" borderId="8" xfId="0" applyFill="1" applyBorder="1" applyAlignment="1">
      <alignment horizontal="center" vertical="center"/>
    </xf>
    <xf numFmtId="0" fontId="1" fillId="14" borderId="7" xfId="0" applyFont="1" applyFill="1" applyBorder="1" applyAlignment="1">
      <alignment horizontal="center" vertical="center"/>
    </xf>
    <xf numFmtId="2" fontId="0" fillId="14" borderId="8" xfId="0" applyNumberFormat="1" applyFill="1" applyBorder="1" applyAlignment="1">
      <alignment horizontal="center" vertical="center"/>
    </xf>
    <xf numFmtId="2" fontId="1" fillId="14" borderId="5" xfId="0" applyNumberFormat="1" applyFont="1" applyFill="1" applyBorder="1" applyAlignment="1">
      <alignment horizontal="center" vertical="center"/>
    </xf>
    <xf numFmtId="2" fontId="0" fillId="14" borderId="5" xfId="0" applyNumberFormat="1" applyFill="1" applyBorder="1" applyAlignment="1">
      <alignment horizontal="center" vertical="center"/>
    </xf>
    <xf numFmtId="0" fontId="0" fillId="14" borderId="5" xfId="0" applyNumberFormat="1" applyFill="1" applyBorder="1" applyAlignment="1">
      <alignment horizontal="center" vertical="center"/>
    </xf>
    <xf numFmtId="2" fontId="3" fillId="14" borderId="3" xfId="0" applyNumberFormat="1" applyFont="1" applyFill="1" applyBorder="1" applyAlignment="1">
      <alignment horizontal="center" vertical="center"/>
    </xf>
    <xf numFmtId="2" fontId="3" fillId="14" borderId="5" xfId="0" applyNumberFormat="1" applyFont="1" applyFill="1" applyBorder="1" applyAlignment="1">
      <alignment horizontal="center" vertical="center"/>
    </xf>
    <xf numFmtId="2" fontId="1" fillId="14" borderId="8" xfId="0" applyNumberFormat="1" applyFont="1" applyFill="1" applyBorder="1" applyAlignment="1">
      <alignment horizontal="center" vertical="center"/>
    </xf>
    <xf numFmtId="0" fontId="0" fillId="14" borderId="0" xfId="0" applyFill="1"/>
    <xf numFmtId="0" fontId="1" fillId="7" borderId="0" xfId="1" applyFont="1" applyFill="1" applyProtection="1"/>
    <xf numFmtId="0" fontId="1" fillId="7" borderId="0" xfId="1" applyFont="1" applyFill="1" applyAlignment="1" applyProtection="1">
      <alignment horizontal="center"/>
    </xf>
    <xf numFmtId="14" fontId="1" fillId="7" borderId="0" xfId="1" applyNumberFormat="1" applyFont="1" applyFill="1" applyAlignment="1" applyProtection="1">
      <alignment horizontal="center"/>
    </xf>
    <xf numFmtId="2" fontId="1" fillId="7" borderId="0" xfId="1" applyNumberFormat="1" applyFont="1" applyFill="1" applyProtection="1"/>
    <xf numFmtId="2" fontId="36" fillId="7" borderId="0" xfId="1" applyNumberFormat="1" applyFont="1" applyFill="1" applyProtection="1"/>
    <xf numFmtId="14" fontId="0" fillId="0" borderId="0" xfId="0" applyNumberFormat="1"/>
    <xf numFmtId="0" fontId="44" fillId="9" borderId="29" xfId="0" applyFont="1" applyFill="1" applyBorder="1" applyAlignment="1">
      <alignment horizontal="center"/>
    </xf>
    <xf numFmtId="0" fontId="44" fillId="7" borderId="29" xfId="0" applyFont="1" applyFill="1" applyBorder="1" applyAlignment="1">
      <alignment horizontal="center"/>
    </xf>
    <xf numFmtId="0" fontId="0" fillId="0" borderId="0" xfId="0" applyFill="1"/>
    <xf numFmtId="2" fontId="44" fillId="9" borderId="29" xfId="0" applyNumberFormat="1" applyFont="1" applyFill="1" applyBorder="1" applyAlignment="1">
      <alignment horizontal="center"/>
    </xf>
    <xf numFmtId="14" fontId="20" fillId="9" borderId="0" xfId="0" applyNumberFormat="1" applyFont="1" applyFill="1"/>
    <xf numFmtId="0" fontId="20" fillId="9" borderId="0" xfId="0" applyFont="1" applyFill="1"/>
    <xf numFmtId="2" fontId="20" fillId="9" borderId="0" xfId="0" applyNumberFormat="1" applyFont="1" applyFill="1"/>
    <xf numFmtId="0" fontId="20" fillId="7" borderId="0" xfId="0" applyFont="1" applyFill="1"/>
    <xf numFmtId="14" fontId="20" fillId="7" borderId="0" xfId="0" applyNumberFormat="1" applyFont="1" applyFill="1"/>
    <xf numFmtId="2" fontId="20" fillId="7" borderId="0" xfId="0" applyNumberFormat="1" applyFont="1" applyFill="1"/>
    <xf numFmtId="14" fontId="1" fillId="0" borderId="1" xfId="0" applyNumberFormat="1" applyFont="1" applyFill="1" applyBorder="1" applyAlignment="1">
      <alignment horizontal="center" vertical="center"/>
    </xf>
    <xf numFmtId="2" fontId="0" fillId="0" borderId="2" xfId="0" applyNumberFormat="1" applyFill="1" applyBorder="1" applyAlignment="1">
      <alignment horizontal="center" vertical="center"/>
    </xf>
    <xf numFmtId="0" fontId="1" fillId="0" borderId="4" xfId="0" applyFont="1" applyFill="1" applyBorder="1" applyAlignment="1">
      <alignment horizontal="center" vertical="center"/>
    </xf>
    <xf numFmtId="0" fontId="0" fillId="0" borderId="4" xfId="0" applyFill="1" applyBorder="1" applyAlignment="1">
      <alignment horizontal="center" vertical="center"/>
    </xf>
    <xf numFmtId="14" fontId="1" fillId="0" borderId="7" xfId="0" applyNumberFormat="1" applyFont="1" applyFill="1" applyBorder="1" applyAlignment="1">
      <alignment horizontal="center" vertical="center"/>
    </xf>
    <xf numFmtId="2" fontId="0" fillId="0" borderId="7" xfId="0" applyNumberFormat="1" applyFill="1" applyBorder="1" applyAlignment="1">
      <alignment horizontal="center" vertical="center"/>
    </xf>
    <xf numFmtId="0" fontId="1" fillId="0" borderId="5" xfId="0" applyFont="1" applyFill="1" applyBorder="1" applyAlignment="1">
      <alignment horizontal="center" vertical="center"/>
    </xf>
    <xf numFmtId="0" fontId="0" fillId="0" borderId="5" xfId="0" applyFill="1" applyBorder="1" applyAlignment="1">
      <alignment horizontal="center" vertical="center"/>
    </xf>
    <xf numFmtId="14" fontId="1" fillId="0" borderId="2" xfId="0" applyNumberFormat="1" applyFont="1" applyFill="1" applyBorder="1" applyAlignment="1">
      <alignment horizontal="center" vertical="center"/>
    </xf>
    <xf numFmtId="0" fontId="1" fillId="0" borderId="8" xfId="0" applyFont="1" applyFill="1" applyBorder="1" applyAlignment="1">
      <alignment horizontal="center" vertical="center"/>
    </xf>
    <xf numFmtId="0" fontId="20" fillId="15" borderId="9" xfId="0" applyFont="1" applyFill="1" applyBorder="1" applyAlignment="1">
      <alignment horizontal="center" vertical="center"/>
    </xf>
    <xf numFmtId="14" fontId="1" fillId="15" borderId="10" xfId="0" applyNumberFormat="1" applyFont="1" applyFill="1" applyBorder="1" applyAlignment="1">
      <alignment horizontal="center" vertical="center"/>
    </xf>
    <xf numFmtId="2" fontId="1" fillId="15" borderId="10" xfId="0" applyNumberFormat="1" applyFont="1" applyFill="1" applyBorder="1" applyAlignment="1">
      <alignment horizontal="center" vertical="center"/>
    </xf>
    <xf numFmtId="0" fontId="0" fillId="15" borderId="10" xfId="0" applyFill="1" applyBorder="1" applyAlignment="1">
      <alignment horizontal="center" vertical="center"/>
    </xf>
    <xf numFmtId="0" fontId="0" fillId="15" borderId="11" xfId="0" applyFill="1" applyBorder="1" applyAlignment="1">
      <alignment horizontal="center" vertical="center"/>
    </xf>
    <xf numFmtId="0" fontId="1" fillId="15" borderId="10" xfId="0" applyFont="1" applyFill="1" applyBorder="1" applyAlignment="1">
      <alignment horizontal="center" vertical="center"/>
    </xf>
    <xf numFmtId="2" fontId="0" fillId="15" borderId="11" xfId="0" applyNumberFormat="1" applyFill="1" applyBorder="1" applyAlignment="1">
      <alignment horizontal="center" vertical="center"/>
    </xf>
    <xf numFmtId="2" fontId="0" fillId="15" borderId="12" xfId="0" applyNumberFormat="1" applyFill="1" applyBorder="1" applyAlignment="1">
      <alignment horizontal="center" vertical="center"/>
    </xf>
    <xf numFmtId="2" fontId="1" fillId="15" borderId="12" xfId="0" applyNumberFormat="1" applyFont="1" applyFill="1" applyBorder="1" applyAlignment="1">
      <alignment horizontal="center" vertical="center"/>
    </xf>
    <xf numFmtId="0" fontId="0" fillId="15" borderId="12" xfId="0" applyFill="1" applyBorder="1" applyAlignment="1">
      <alignment horizontal="center" vertical="center"/>
    </xf>
    <xf numFmtId="2" fontId="1" fillId="15" borderId="3" xfId="0" applyNumberFormat="1" applyFont="1" applyFill="1" applyBorder="1" applyAlignment="1">
      <alignment horizontal="center" vertical="center"/>
    </xf>
    <xf numFmtId="2" fontId="0" fillId="15" borderId="5" xfId="0" applyNumberFormat="1" applyFill="1" applyBorder="1" applyAlignment="1">
      <alignment horizontal="center" vertical="center"/>
    </xf>
    <xf numFmtId="0" fontId="0" fillId="15" borderId="0" xfId="0" applyFill="1"/>
    <xf numFmtId="0" fontId="1" fillId="15" borderId="9" xfId="0" applyFont="1" applyFill="1" applyBorder="1" applyAlignment="1">
      <alignment horizontal="center" vertical="center"/>
    </xf>
    <xf numFmtId="14" fontId="0" fillId="15" borderId="10" xfId="0" applyNumberFormat="1" applyFill="1" applyBorder="1" applyAlignment="1">
      <alignment horizontal="center" vertical="center"/>
    </xf>
    <xf numFmtId="0" fontId="0" fillId="15" borderId="12" xfId="0" applyNumberFormat="1" applyFill="1" applyBorder="1" applyAlignment="1">
      <alignment horizontal="center" vertical="center"/>
    </xf>
    <xf numFmtId="2" fontId="3" fillId="15" borderId="3" xfId="0" applyNumberFormat="1" applyFont="1" applyFill="1" applyBorder="1" applyAlignment="1">
      <alignment horizontal="center" vertical="center"/>
    </xf>
    <xf numFmtId="2" fontId="3" fillId="15" borderId="12" xfId="0" applyNumberFormat="1" applyFont="1" applyFill="1" applyBorder="1" applyAlignment="1">
      <alignment horizontal="center" vertical="center"/>
    </xf>
    <xf numFmtId="2" fontId="1" fillId="15" borderId="11" xfId="0" applyNumberFormat="1" applyFont="1" applyFill="1" applyBorder="1" applyAlignment="1">
      <alignment horizontal="center" vertical="center"/>
    </xf>
    <xf numFmtId="0" fontId="1" fillId="7" borderId="0" xfId="1" applyFont="1" applyFill="1" applyBorder="1" applyAlignment="1" applyProtection="1">
      <alignment horizontal="center"/>
      <protection locked="0"/>
    </xf>
    <xf numFmtId="14" fontId="1" fillId="7" borderId="0" xfId="1" applyNumberFormat="1" applyFont="1" applyFill="1" applyBorder="1" applyAlignment="1" applyProtection="1">
      <alignment horizontal="center"/>
      <protection locked="0"/>
    </xf>
    <xf numFmtId="4" fontId="20" fillId="7" borderId="0" xfId="0" applyNumberFormat="1" applyFont="1" applyFill="1" applyBorder="1" applyAlignment="1">
      <alignment horizontal="center"/>
    </xf>
    <xf numFmtId="0" fontId="1" fillId="9" borderId="0" xfId="1" applyFont="1" applyFill="1" applyBorder="1" applyAlignment="1" applyProtection="1">
      <alignment horizontal="center"/>
      <protection locked="0"/>
    </xf>
    <xf numFmtId="2" fontId="1" fillId="7" borderId="0" xfId="1" applyNumberFormat="1" applyFont="1" applyFill="1" applyBorder="1" applyAlignment="1" applyProtection="1">
      <alignment horizontal="center" vertical="center"/>
      <protection locked="0"/>
    </xf>
    <xf numFmtId="2" fontId="1" fillId="7" borderId="0" xfId="1" applyNumberFormat="1" applyFont="1" applyFill="1" applyBorder="1" applyAlignment="1" applyProtection="1">
      <alignment horizontal="center" vertical="center"/>
    </xf>
    <xf numFmtId="4" fontId="20" fillId="9" borderId="0" xfId="0" applyNumberFormat="1" applyFont="1" applyFill="1" applyAlignment="1">
      <alignment horizontal="center" vertical="center"/>
    </xf>
    <xf numFmtId="2" fontId="36" fillId="7" borderId="37" xfId="1" applyNumberFormat="1" applyFont="1" applyFill="1" applyBorder="1" applyAlignment="1" applyProtection="1">
      <alignment horizontal="center" vertical="center"/>
      <protection locked="0"/>
    </xf>
    <xf numFmtId="0" fontId="20" fillId="7" borderId="0" xfId="0" applyFont="1" applyFill="1" applyAlignment="1">
      <alignment horizontal="left" vertical="center"/>
    </xf>
    <xf numFmtId="0" fontId="45" fillId="10" borderId="33" xfId="0" applyFont="1" applyFill="1" applyBorder="1"/>
    <xf numFmtId="169" fontId="45" fillId="10" borderId="33" xfId="0" applyNumberFormat="1" applyFont="1" applyFill="1" applyBorder="1"/>
    <xf numFmtId="0" fontId="45" fillId="10" borderId="33" xfId="0" applyFont="1" applyFill="1" applyBorder="1" applyAlignment="1">
      <alignment horizontal="center"/>
    </xf>
    <xf numFmtId="169" fontId="14" fillId="8" borderId="33" xfId="0" applyNumberFormat="1" applyFont="1" applyFill="1" applyBorder="1"/>
    <xf numFmtId="14" fontId="45" fillId="10" borderId="34" xfId="0" applyNumberFormat="1" applyFont="1" applyFill="1" applyBorder="1"/>
    <xf numFmtId="0" fontId="43" fillId="0" borderId="0" xfId="0" applyFont="1" applyFill="1"/>
    <xf numFmtId="0" fontId="1" fillId="0" borderId="0" xfId="1" applyFont="1" applyAlignment="1" applyProtection="1">
      <alignment horizontal="left" wrapText="1"/>
    </xf>
    <xf numFmtId="0" fontId="1" fillId="0" borderId="27" xfId="1" applyBorder="1" applyAlignment="1" applyProtection="1">
      <alignment horizontal="center" vertical="center" wrapText="1"/>
      <protection locked="0"/>
    </xf>
    <xf numFmtId="0" fontId="1" fillId="4" borderId="15" xfId="1" applyFill="1" applyBorder="1" applyAlignment="1" applyProtection="1">
      <alignment horizontal="center" vertical="center"/>
      <protection locked="0"/>
    </xf>
    <xf numFmtId="0" fontId="1" fillId="4" borderId="15" xfId="1" applyFill="1" applyBorder="1" applyAlignment="1" applyProtection="1">
      <alignment horizontal="center" vertical="center"/>
    </xf>
    <xf numFmtId="0" fontId="1" fillId="0" borderId="15" xfId="1" applyBorder="1" applyAlignment="1" applyProtection="1">
      <alignment horizontal="center" vertical="center"/>
      <protection locked="0"/>
    </xf>
    <xf numFmtId="0" fontId="1" fillId="0" borderId="18" xfId="1" applyBorder="1" applyAlignment="1" applyProtection="1">
      <alignment horizontal="center" vertical="center"/>
      <protection locked="0"/>
    </xf>
    <xf numFmtId="164" fontId="1" fillId="0" borderId="18" xfId="1" applyNumberFormat="1" applyBorder="1" applyAlignment="1" applyProtection="1">
      <alignment horizontal="center" vertical="center"/>
      <protection locked="0"/>
    </xf>
    <xf numFmtId="0" fontId="1" fillId="0" borderId="18" xfId="1" applyBorder="1" applyAlignment="1" applyProtection="1">
      <alignment horizontal="center" vertical="center"/>
    </xf>
    <xf numFmtId="164" fontId="36" fillId="7" borderId="37" xfId="1" applyNumberFormat="1" applyFont="1" applyFill="1" applyBorder="1" applyAlignment="1" applyProtection="1">
      <alignment horizontal="center" vertical="center"/>
      <protection locked="0"/>
    </xf>
    <xf numFmtId="0" fontId="6" fillId="4" borderId="15" xfId="0" applyFont="1" applyFill="1" applyBorder="1"/>
    <xf numFmtId="0" fontId="6" fillId="4" borderId="15" xfId="0" applyFont="1" applyFill="1" applyBorder="1" applyAlignment="1">
      <alignment horizontal="centerContinuous"/>
    </xf>
    <xf numFmtId="0" fontId="6" fillId="4" borderId="18" xfId="0" applyFont="1" applyFill="1" applyBorder="1" applyAlignment="1" applyProtection="1">
      <protection locked="0"/>
    </xf>
    <xf numFmtId="0" fontId="0" fillId="4" borderId="19" xfId="0" applyFill="1" applyBorder="1" applyAlignment="1"/>
    <xf numFmtId="0" fontId="7" fillId="0" borderId="15" xfId="0" applyFont="1" applyFill="1" applyBorder="1" applyAlignment="1" applyProtection="1">
      <alignment horizontal="center"/>
      <protection locked="0"/>
    </xf>
    <xf numFmtId="0" fontId="7" fillId="0" borderId="16" xfId="0" applyFont="1" applyFill="1" applyBorder="1" applyAlignment="1" applyProtection="1">
      <alignment horizontal="center"/>
      <protection locked="0"/>
    </xf>
    <xf numFmtId="0" fontId="13" fillId="6" borderId="16" xfId="0" applyFont="1" applyFill="1" applyBorder="1" applyAlignment="1" applyProtection="1">
      <alignment horizontal="center"/>
      <protection locked="0"/>
    </xf>
    <xf numFmtId="0" fontId="14" fillId="0" borderId="38" xfId="0" applyFont="1" applyFill="1" applyBorder="1" applyAlignment="1">
      <alignment horizontal="center" vertical="center" wrapText="1"/>
    </xf>
    <xf numFmtId="0" fontId="15" fillId="6" borderId="21" xfId="0" applyFont="1" applyFill="1" applyBorder="1" applyAlignment="1" applyProtection="1">
      <alignment horizontal="center"/>
      <protection locked="0"/>
    </xf>
    <xf numFmtId="0" fontId="6" fillId="0" borderId="18" xfId="0" applyFont="1" applyBorder="1" applyAlignment="1" applyProtection="1">
      <alignment horizontal="center"/>
      <protection locked="0"/>
    </xf>
    <xf numFmtId="0" fontId="0" fillId="0" borderId="19" xfId="0" applyBorder="1" applyAlignment="1">
      <alignment horizontal="center"/>
    </xf>
    <xf numFmtId="164" fontId="6" fillId="0" borderId="18" xfId="0" applyNumberFormat="1" applyFont="1" applyBorder="1" applyAlignment="1" applyProtection="1">
      <alignment horizontal="left"/>
      <protection locked="0"/>
    </xf>
    <xf numFmtId="0" fontId="0" fillId="0" borderId="19" xfId="0" applyBorder="1" applyAlignment="1"/>
    <xf numFmtId="0" fontId="6" fillId="5" borderId="0" xfId="0" applyFont="1" applyFill="1" applyBorder="1" applyAlignment="1">
      <alignment horizontal="center"/>
    </xf>
    <xf numFmtId="0" fontId="0" fillId="5" borderId="0" xfId="0" applyFill="1" applyBorder="1" applyAlignment="1">
      <alignment horizontal="center"/>
    </xf>
    <xf numFmtId="0" fontId="37" fillId="10" borderId="18" xfId="0" applyFont="1" applyFill="1" applyBorder="1" applyAlignment="1">
      <alignment horizontal="center" vertical="center"/>
    </xf>
    <xf numFmtId="0" fontId="37" fillId="10" borderId="30" xfId="0" applyFont="1" applyFill="1" applyBorder="1" applyAlignment="1">
      <alignment horizontal="center" vertical="center"/>
    </xf>
    <xf numFmtId="0" fontId="37" fillId="10" borderId="32" xfId="0" applyFont="1" applyFill="1" applyBorder="1" applyAlignment="1">
      <alignment horizontal="center" vertical="center"/>
    </xf>
    <xf numFmtId="0" fontId="37" fillId="10" borderId="3" xfId="0" applyFont="1" applyFill="1" applyBorder="1" applyAlignment="1">
      <alignment horizontal="center" vertical="center"/>
    </xf>
    <xf numFmtId="0" fontId="38" fillId="8" borderId="31" xfId="0" applyFont="1" applyFill="1" applyBorder="1" applyAlignment="1">
      <alignment horizontal="center"/>
    </xf>
    <xf numFmtId="0" fontId="38" fillId="8" borderId="19" xfId="0" applyFont="1" applyFill="1" applyBorder="1" applyAlignment="1">
      <alignment horizontal="center"/>
    </xf>
    <xf numFmtId="0" fontId="1" fillId="5" borderId="18" xfId="1" applyFill="1" applyBorder="1" applyAlignment="1" applyProtection="1">
      <alignment horizontal="center" vertical="center"/>
      <protection locked="0"/>
    </xf>
    <xf numFmtId="0" fontId="1" fillId="5" borderId="19" xfId="1" applyFill="1" applyBorder="1" applyAlignment="1" applyProtection="1">
      <alignment horizontal="center" vertical="center"/>
      <protection locked="0"/>
    </xf>
    <xf numFmtId="0" fontId="1" fillId="5" borderId="26" xfId="1" applyFill="1" applyBorder="1" applyAlignment="1" applyProtection="1">
      <alignment horizontal="center" vertical="center"/>
      <protection locked="0"/>
    </xf>
    <xf numFmtId="0" fontId="1" fillId="4" borderId="18" xfId="1" applyFill="1" applyBorder="1" applyAlignment="1" applyProtection="1">
      <alignment horizontal="center" vertical="center"/>
      <protection locked="0"/>
    </xf>
    <xf numFmtId="0" fontId="1" fillId="4" borderId="19" xfId="1" applyFill="1" applyBorder="1" applyAlignment="1" applyProtection="1">
      <alignment horizontal="center" vertical="center"/>
      <protection locked="0"/>
    </xf>
    <xf numFmtId="0" fontId="1" fillId="4" borderId="26" xfId="1" applyFill="1" applyBorder="1" applyAlignment="1" applyProtection="1">
      <alignment horizontal="center" vertical="center"/>
      <protection locked="0"/>
    </xf>
    <xf numFmtId="0" fontId="6" fillId="5" borderId="17" xfId="0" applyFont="1" applyFill="1" applyBorder="1" applyAlignment="1" applyProtection="1">
      <alignment horizontal="left"/>
      <protection locked="0"/>
    </xf>
    <xf numFmtId="0" fontId="0" fillId="5" borderId="0" xfId="0" applyFill="1" applyBorder="1" applyAlignment="1"/>
    <xf numFmtId="0" fontId="6" fillId="5" borderId="18" xfId="0" applyFont="1" applyFill="1" applyBorder="1" applyAlignment="1" applyProtection="1">
      <alignment horizontal="left"/>
      <protection locked="0"/>
    </xf>
    <xf numFmtId="0" fontId="0" fillId="5" borderId="19" xfId="0" applyFill="1" applyBorder="1" applyAlignment="1"/>
  </cellXfs>
  <cellStyles count="10">
    <cellStyle name="??0" xfId="8" xr:uid="{5B35B90A-9C25-4FD8-851B-A986B32B88C3}"/>
    <cellStyle name="0.000" xfId="4" xr:uid="{04F24AF3-9C16-42E5-A43D-C37ECFF72CD2}"/>
    <cellStyle name="hel8" xfId="5" xr:uid="{A4D2AE4F-F8AA-49BF-951F-C86ABD14980C}"/>
    <cellStyle name="hel8 2" xfId="6" xr:uid="{A58E3D83-6C66-4CB2-867C-1988601F85DE}"/>
    <cellStyle name="hel8 blue" xfId="3" xr:uid="{CAAF3B62-262D-4F01-B894-1299B9A0AC4B}"/>
    <cellStyle name="hel8b_Snow Pit1" xfId="2" xr:uid="{101E6387-EA4C-4EB2-BABB-9930CEC46EC7}"/>
    <cellStyle name="Normal" xfId="0" builtinId="0"/>
    <cellStyle name="Normal 2 3" xfId="1" xr:uid="{22A62D00-5F68-439D-940D-15EFA093D537}"/>
    <cellStyle name="Normal 4" xfId="7" xr:uid="{302001BE-5A7B-4CF1-BB3A-A469222C87FD}"/>
    <cellStyle name="Normal_C-snowpits" xfId="9" xr:uid="{971ED69A-A86A-4865-B130-97C08A414D8F}"/>
  </cellStyles>
  <dxfs count="30">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s>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14</xdr:col>
      <xdr:colOff>133350</xdr:colOff>
      <xdr:row>32</xdr:row>
      <xdr:rowOff>19050</xdr:rowOff>
    </xdr:from>
    <xdr:to>
      <xdr:col>21</xdr:col>
      <xdr:colOff>352425</xdr:colOff>
      <xdr:row>57</xdr:row>
      <xdr:rowOff>57150</xdr:rowOff>
    </xdr:to>
    <xdr:sp macro="" textlink="">
      <xdr:nvSpPr>
        <xdr:cNvPr id="2" name="TextBox 1">
          <a:extLst>
            <a:ext uri="{FF2B5EF4-FFF2-40B4-BE49-F238E27FC236}">
              <a16:creationId xmlns:a16="http://schemas.microsoft.com/office/drawing/2014/main" id="{4DC77737-E409-41D7-8893-B7FD6B8B33F8}"/>
            </a:ext>
          </a:extLst>
        </xdr:cNvPr>
        <xdr:cNvSpPr txBox="1"/>
      </xdr:nvSpPr>
      <xdr:spPr>
        <a:xfrm>
          <a:off x="8801100" y="6400800"/>
          <a:ext cx="4743450" cy="4772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07-K17</a:t>
          </a:r>
          <a:r>
            <a:rPr lang="en-US" sz="1200" b="1" baseline="0"/>
            <a:t> Stake: No balances salvagable. Bad spring visit, not visited fall 2014.</a:t>
          </a:r>
        </a:p>
        <a:p>
          <a:endParaRPr lang="en-US" sz="1200" b="1" baseline="0"/>
        </a:p>
        <a:p>
          <a:r>
            <a:rPr lang="en-US" sz="1200" b="1" baseline="0"/>
            <a:t>bw</a:t>
          </a:r>
          <a:r>
            <a:rPr lang="en-US" sz="1200" b="0" baseline="0"/>
            <a:t>: probing suspsect; likely penetrated into firn (note from R. Burrows, and confimed by comparing fall 2013 stake reading with calculation of fall surface from stake reading and probed depth). Not calculated.</a:t>
          </a:r>
        </a:p>
        <a:p>
          <a:endParaRPr lang="en-US" sz="1200" b="1"/>
        </a:p>
        <a:p>
          <a:r>
            <a:rPr lang="en-US" sz="1200" b="1"/>
            <a:t>10-K17 Stake</a:t>
          </a:r>
        </a:p>
        <a:p>
          <a:r>
            <a:rPr lang="en-US" sz="1100" b="1"/>
            <a:t>Old calculation: mass balance</a:t>
          </a:r>
        </a:p>
        <a:p>
          <a:endParaRPr lang="en-US" sz="1100" b="1"/>
        </a:p>
        <a:p>
          <a:r>
            <a:rPr lang="en-US" sz="1100" b="1"/>
            <a:t>bw: </a:t>
          </a:r>
          <a:r>
            <a:rPr lang="en-US" sz="1100" b="0"/>
            <a:t>depth of 2.92, density</a:t>
          </a:r>
          <a:r>
            <a:rPr lang="en-US" sz="1100" b="0" baseline="0"/>
            <a:t> of 0.37. This matches field data.</a:t>
          </a:r>
          <a:endParaRPr lang="en-US" sz="1100" b="0"/>
        </a:p>
        <a:p>
          <a:endParaRPr lang="en-US" sz="1100" b="0"/>
        </a:p>
        <a:p>
          <a:pPr marL="0" marR="0" lvl="0" indent="0" defTabSz="914400" eaLnBrk="1" fontAlgn="auto" latinLnBrk="0" hangingPunct="1">
            <a:lnSpc>
              <a:spcPct val="100000"/>
            </a:lnSpc>
            <a:spcBef>
              <a:spcPts val="0"/>
            </a:spcBef>
            <a:spcAft>
              <a:spcPts val="0"/>
            </a:spcAft>
            <a:buClrTx/>
            <a:buSzTx/>
            <a:buFontTx/>
            <a:buNone/>
            <a:tabLst/>
            <a:defRPr/>
          </a:pPr>
          <a:r>
            <a:rPr lang="en-US" sz="1100" b="1"/>
            <a:t>ba: </a:t>
          </a:r>
          <a:r>
            <a:rPr lang="en-US" sz="1100" b="0"/>
            <a:t>Depth of 2.0, and denstiy of 0.44. Depth is depth at stake, not site average.</a:t>
          </a:r>
        </a:p>
        <a:p>
          <a:endParaRPr lang="en-US" sz="1100" baseline="0"/>
        </a:p>
        <a:p>
          <a:r>
            <a:rPr lang="en-US" sz="1100" b="1" baseline="0"/>
            <a:t>New calculation: mass balance  </a:t>
          </a:r>
        </a:p>
        <a:p>
          <a:r>
            <a:rPr lang="en-US" sz="1100" b="0" baseline="0"/>
            <a:t>- no field notes from spring 6/7/2014 visit! Only info is in database excel sheet.</a:t>
          </a:r>
        </a:p>
        <a:p>
          <a:endParaRPr lang="en-US" sz="1100" b="0" baseline="0"/>
        </a:p>
        <a:p>
          <a:r>
            <a:rPr lang="en-US" sz="1100" b="1" baseline="0"/>
            <a:t>bw: </a:t>
          </a:r>
          <a:r>
            <a:rPr lang="en-US" sz="1100" b="0" baseline="0"/>
            <a:t>depth of 2.92, density of 0.37. Matches old calculation as well.</a:t>
          </a:r>
        </a:p>
        <a:p>
          <a:endParaRPr lang="en-US" sz="1100" b="1" baseline="0"/>
        </a:p>
        <a:p>
          <a:r>
            <a:rPr lang="en-US" sz="1100" b="1" baseline="0"/>
            <a:t>ba: </a:t>
          </a:r>
        </a:p>
        <a:p>
          <a:endParaRPr lang="en-US" sz="1100" b="1" baseline="0"/>
        </a:p>
        <a:p>
          <a:r>
            <a:rPr lang="en-US" sz="1100" b="1" baseline="0"/>
            <a:t>HOWEVER, Stake 10-K17 appears to be loose/ floating! Numbers are not reliable from this stake after 2011.</a:t>
          </a:r>
          <a:endParaRPr lang="en-US" sz="1100" b="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209550</xdr:colOff>
      <xdr:row>32</xdr:row>
      <xdr:rowOff>28575</xdr:rowOff>
    </xdr:from>
    <xdr:to>
      <xdr:col>18</xdr:col>
      <xdr:colOff>533400</xdr:colOff>
      <xdr:row>56</xdr:row>
      <xdr:rowOff>9525</xdr:rowOff>
    </xdr:to>
    <xdr:sp macro="" textlink="">
      <xdr:nvSpPr>
        <xdr:cNvPr id="2" name="TextBox 1">
          <a:extLst>
            <a:ext uri="{FF2B5EF4-FFF2-40B4-BE49-F238E27FC236}">
              <a16:creationId xmlns:a16="http://schemas.microsoft.com/office/drawing/2014/main" id="{1F8EC5E1-0E0D-4100-B6B1-D9B26D9F0FD8}"/>
            </a:ext>
          </a:extLst>
        </xdr:cNvPr>
        <xdr:cNvSpPr txBox="1"/>
      </xdr:nvSpPr>
      <xdr:spPr>
        <a:xfrm>
          <a:off x="7648575" y="6715125"/>
          <a:ext cx="4743450" cy="4562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13-K17A Stake</a:t>
          </a:r>
        </a:p>
        <a:p>
          <a:r>
            <a:rPr lang="en-US" sz="1100" b="1"/>
            <a:t>Old calculation: mass balance</a:t>
          </a:r>
        </a:p>
        <a:p>
          <a:endParaRPr lang="en-US" sz="1100" b="1"/>
        </a:p>
        <a:p>
          <a:r>
            <a:rPr lang="en-US" sz="1100" b="1"/>
            <a:t>bw:  </a:t>
          </a:r>
          <a:r>
            <a:rPr lang="en-US" sz="1100" b="0"/>
            <a:t>depth of 3.20 m, and density of 0.41. Depth is depth at the stake; density is the average of density measured at 10-K17 and K17B (0.41).</a:t>
          </a:r>
        </a:p>
        <a:p>
          <a:endParaRPr lang="en-US" sz="1100" b="0"/>
        </a:p>
        <a:p>
          <a:pPr marL="0" marR="0" lvl="0" indent="0" defTabSz="914400" eaLnBrk="1" fontAlgn="auto" latinLnBrk="0" hangingPunct="1">
            <a:lnSpc>
              <a:spcPct val="100000"/>
            </a:lnSpc>
            <a:spcBef>
              <a:spcPts val="0"/>
            </a:spcBef>
            <a:spcAft>
              <a:spcPts val="0"/>
            </a:spcAft>
            <a:buClrTx/>
            <a:buSzTx/>
            <a:buFontTx/>
            <a:buNone/>
            <a:tabLst/>
            <a:defRPr/>
          </a:pPr>
          <a:r>
            <a:rPr lang="en-US" sz="1100" b="1"/>
            <a:t>bs: </a:t>
          </a:r>
          <a:r>
            <a:rPr lang="en-US" sz="1100" b="0"/>
            <a:t>To calculate SUMMER balance, they first calculate how much snow is on the glacier using a depth of 2.24, and density of 0.44 (from K17B)</a:t>
          </a:r>
          <a:r>
            <a:rPr lang="en-US" sz="1100" b="0" baseline="0"/>
            <a:t> </a:t>
          </a:r>
          <a:r>
            <a:rPr lang="en-US" sz="1100" b="0"/>
            <a:t>minus</a:t>
          </a:r>
          <a:r>
            <a:rPr lang="en-US" sz="1100" b="0" baseline="0"/>
            <a:t> the 7% pore-space capilary retention old Mayo-era firn capilary assumption thing. THEN, they multiply this by -1, and call that the summer balance. (for a value of -0.9 m w.e.). Hmmm...</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t>ba: </a:t>
          </a:r>
          <a:r>
            <a:rPr lang="en-US" sz="1100" b="0" baseline="0"/>
            <a:t>calculated as sum of bw and bs. In this manner, Bs is the exact inverse of Ba... suspect.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p>
        <a:p>
          <a:r>
            <a:rPr lang="en-US" sz="1100" b="1" baseline="0"/>
            <a:t>New calculation: mass balance  </a:t>
          </a:r>
        </a:p>
        <a:p>
          <a:endParaRPr lang="en-US" sz="1100" b="1" baseline="0"/>
        </a:p>
        <a:p>
          <a:r>
            <a:rPr lang="en-US" sz="1100" b="1" baseline="0"/>
            <a:t>bw</a:t>
          </a:r>
          <a:r>
            <a:rPr lang="en-US" sz="1100" b="0" baseline="0"/>
            <a:t>:  depth of 3.2 m, density taken as average of 2 measured densities as 10-K17, and K17B (0.40).</a:t>
          </a:r>
        </a:p>
        <a:p>
          <a:endParaRPr lang="en-US" sz="1100" b="0" baseline="0"/>
        </a:p>
        <a:p>
          <a:r>
            <a:rPr lang="en-US" sz="1100" b="1" baseline="0"/>
            <a:t>ba</a:t>
          </a:r>
          <a:r>
            <a:rPr lang="en-US" sz="1100" b="0" baseline="0"/>
            <a:t>: product of snow depth (only a single number for fall 2014; lack of field notes), and assumed new firn density (0.5).</a:t>
          </a:r>
        </a:p>
        <a:p>
          <a:endParaRPr lang="en-US" sz="1100" b="1" baseline="0"/>
        </a:p>
        <a:p>
          <a:r>
            <a:rPr lang="en-US" sz="1100" b="1" baseline="0"/>
            <a:t>winter ablation:  </a:t>
          </a:r>
          <a:r>
            <a:rPr lang="en-US" sz="1100" b="0" baseline="0"/>
            <a:t>change in height of surface on stake from fall 2013 to probed height in spring 2014, multiplied by an assumed density of new firn (0.5).</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314325</xdr:colOff>
      <xdr:row>31</xdr:row>
      <xdr:rowOff>19050</xdr:rowOff>
    </xdr:from>
    <xdr:to>
      <xdr:col>19</xdr:col>
      <xdr:colOff>790575</xdr:colOff>
      <xdr:row>61</xdr:row>
      <xdr:rowOff>171450</xdr:rowOff>
    </xdr:to>
    <xdr:sp macro="" textlink="">
      <xdr:nvSpPr>
        <xdr:cNvPr id="2" name="TextBox 1">
          <a:extLst>
            <a:ext uri="{FF2B5EF4-FFF2-40B4-BE49-F238E27FC236}">
              <a16:creationId xmlns:a16="http://schemas.microsoft.com/office/drawing/2014/main" id="{CDC98A56-B3F8-4140-99E7-F046099D4734}"/>
            </a:ext>
          </a:extLst>
        </xdr:cNvPr>
        <xdr:cNvSpPr txBox="1"/>
      </xdr:nvSpPr>
      <xdr:spPr>
        <a:xfrm>
          <a:off x="8353425" y="6838950"/>
          <a:ext cx="4743450" cy="5867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13-K17B Stake</a:t>
          </a:r>
        </a:p>
        <a:p>
          <a:r>
            <a:rPr lang="en-US" sz="1100" b="1"/>
            <a:t>Old calculation: mass balance</a:t>
          </a:r>
        </a:p>
        <a:p>
          <a:endParaRPr lang="en-US" sz="1100" b="1"/>
        </a:p>
        <a:p>
          <a:r>
            <a:rPr lang="en-US" sz="1100" b="1"/>
            <a:t>bw: </a:t>
          </a:r>
          <a:r>
            <a:rPr lang="en-US" sz="1100" b="0"/>
            <a:t>Calculated</a:t>
          </a:r>
          <a:r>
            <a:rPr lang="en-US" sz="1100" b="0" baseline="0"/>
            <a:t> as product of depth (3.10 m) times density (0.45).  Density is the average of 4 federal sampler measurements; 3 are separate probes, the 4th is just a small chunk that fell out of the sampler in one push. They gave it it's own, equal weight in determining the average density at the site, even though it was only 27 cm long... Omitted in  new calculation.</a:t>
          </a:r>
          <a:endParaRPr lang="en-US" sz="1100" b="1"/>
        </a:p>
        <a:p>
          <a:endParaRPr lang="en-US" sz="1100" b="1"/>
        </a:p>
        <a:p>
          <a:pPr marL="0" marR="0" lvl="0" indent="0" defTabSz="914400" eaLnBrk="1" fontAlgn="auto" latinLnBrk="0" hangingPunct="1">
            <a:lnSpc>
              <a:spcPct val="100000"/>
            </a:lnSpc>
            <a:spcBef>
              <a:spcPts val="0"/>
            </a:spcBef>
            <a:spcAft>
              <a:spcPts val="0"/>
            </a:spcAft>
            <a:buClrTx/>
            <a:buSzTx/>
            <a:buFontTx/>
            <a:buNone/>
            <a:tabLst/>
            <a:defRPr/>
          </a:pPr>
          <a:r>
            <a:rPr lang="en-US" sz="1100" b="1"/>
            <a:t>bs</a:t>
          </a:r>
          <a:r>
            <a:rPr lang="en-US" sz="1100" b="0"/>
            <a:t>: Problem! They are calculating</a:t>
          </a:r>
          <a:r>
            <a:rPr lang="en-US" sz="1100" b="0" baseline="0"/>
            <a:t> summer balance as </a:t>
          </a:r>
          <a:r>
            <a:rPr lang="en-US" sz="1100" b="0">
              <a:solidFill>
                <a:schemeClr val="dk1"/>
              </a:solidFill>
              <a:effectLst/>
              <a:latin typeface="+mn-lt"/>
              <a:ea typeface="+mn-ea"/>
              <a:cs typeface="+mn-cs"/>
            </a:rPr>
            <a:t>the product of average snow depth (2.11 m) and measured snow density</a:t>
          </a:r>
          <a:r>
            <a:rPr lang="en-US" sz="1100" b="0" baseline="0">
              <a:solidFill>
                <a:schemeClr val="dk1"/>
              </a:solidFill>
              <a:effectLst/>
              <a:latin typeface="+mn-lt"/>
              <a:ea typeface="+mn-ea"/>
              <a:cs typeface="+mn-cs"/>
            </a:rPr>
            <a:t> (0.44). HOWEVER, this is a calculation of ANNUAL BALANCE, not summer balance! A secondary issue, they are, also subtracting 7% of m.w.e in snow as per Mayo instructions regarding capilary retention of water in new firn (see formula in old cells); this adjustment is not neccesary.  Main issue is they have confused a positive annual balance with calculation of summer balance, and simply switched the sign on a positive annual balance to report a negative summer balance! Bad news.</a:t>
          </a:r>
          <a:endParaRPr lang="en-US">
            <a:effectLst/>
          </a:endParaRPr>
        </a:p>
        <a:p>
          <a:endParaRPr lang="en-US" sz="1100" b="1"/>
        </a:p>
        <a:p>
          <a:pPr marL="0" marR="0" lvl="0" indent="0" defTabSz="914400" eaLnBrk="1" fontAlgn="auto" latinLnBrk="0" hangingPunct="1">
            <a:lnSpc>
              <a:spcPct val="100000"/>
            </a:lnSpc>
            <a:spcBef>
              <a:spcPts val="0"/>
            </a:spcBef>
            <a:spcAft>
              <a:spcPts val="0"/>
            </a:spcAft>
            <a:buClrTx/>
            <a:buSzTx/>
            <a:buFontTx/>
            <a:buNone/>
            <a:tabLst/>
            <a:defRPr/>
          </a:pPr>
          <a:r>
            <a:rPr lang="en-US" sz="1100" b="1"/>
            <a:t>ba: </a:t>
          </a:r>
          <a:r>
            <a:rPr lang="en-US" sz="1100" b="1" baseline="0"/>
            <a:t> </a:t>
          </a:r>
          <a:r>
            <a:rPr lang="en-US" sz="1100" b="0" baseline="0"/>
            <a:t>Calculated as the residual, but from faulty bs calculation. Doh!</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baseline="0"/>
        </a:p>
        <a:p>
          <a:r>
            <a:rPr lang="en-US" sz="1100" b="1" baseline="0"/>
            <a:t>New calculation: mass balance  </a:t>
          </a:r>
        </a:p>
        <a:p>
          <a:endParaRPr lang="en-US" sz="1100" b="1" baseline="0"/>
        </a:p>
        <a:p>
          <a:r>
            <a:rPr lang="en-US" sz="1100" b="1" baseline="0"/>
            <a:t>bw:  </a:t>
          </a:r>
          <a:r>
            <a:rPr lang="en-US" sz="1100" b="0" baseline="0"/>
            <a:t>Product of probed depth (3.10) times density (0.42). </a:t>
          </a:r>
        </a:p>
        <a:p>
          <a:endParaRPr lang="en-US" sz="1100" b="0" baseline="0"/>
        </a:p>
        <a:p>
          <a:r>
            <a:rPr lang="en-US" sz="1100" b="1" baseline="0"/>
            <a:t>ba</a:t>
          </a:r>
          <a:r>
            <a:rPr lang="en-US" sz="1100" b="0" baseline="0"/>
            <a:t>: Product of average depth (2.11 m) and measured density (0.44) of new firn on glacier in fall. Snow depth is confirmed by change in surface on stake as well (2.08 at stake approx. equal to site average 2.11).</a:t>
          </a:r>
        </a:p>
        <a:p>
          <a:endParaRPr lang="en-US" sz="1100" b="1" baseline="0"/>
        </a:p>
        <a:p>
          <a:r>
            <a:rPr lang="en-US" sz="1100" b="1" baseline="0"/>
            <a:t>winter ablation: </a:t>
          </a:r>
          <a:r>
            <a:rPr lang="en-US" sz="1100" b="0" baseline="0"/>
            <a:t>calculated from probed snow depth on spring trip; confirmed by probed depth of new firn on fall 2014 trip (yields same surface height on ablation stake for fall 2013 final summer surface).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276225</xdr:colOff>
      <xdr:row>39</xdr:row>
      <xdr:rowOff>47624</xdr:rowOff>
    </xdr:from>
    <xdr:to>
      <xdr:col>17</xdr:col>
      <xdr:colOff>85725</xdr:colOff>
      <xdr:row>67</xdr:row>
      <xdr:rowOff>114299</xdr:rowOff>
    </xdr:to>
    <xdr:sp macro="" textlink="">
      <xdr:nvSpPr>
        <xdr:cNvPr id="2" name="TextBox 1">
          <a:extLst>
            <a:ext uri="{FF2B5EF4-FFF2-40B4-BE49-F238E27FC236}">
              <a16:creationId xmlns:a16="http://schemas.microsoft.com/office/drawing/2014/main" id="{EF6C00C3-37ED-403B-ABC4-342ECB6E1F7E}"/>
            </a:ext>
          </a:extLst>
        </xdr:cNvPr>
        <xdr:cNvSpPr txBox="1"/>
      </xdr:nvSpPr>
      <xdr:spPr>
        <a:xfrm>
          <a:off x="962025" y="8124824"/>
          <a:ext cx="10496550" cy="5400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13-K17C Stake</a:t>
          </a:r>
        </a:p>
        <a:p>
          <a:endParaRPr lang="en-US" sz="1200" b="1"/>
        </a:p>
        <a:p>
          <a:r>
            <a:rPr lang="en-US" sz="1200" b="1">
              <a:solidFill>
                <a:schemeClr val="accent2">
                  <a:lumMod val="75000"/>
                </a:schemeClr>
              </a:solidFill>
            </a:rPr>
            <a:t>NO FIELD NOTES for 2014 field visits (either spring or fall)! ALL information is from database</a:t>
          </a:r>
          <a:r>
            <a:rPr lang="en-US" sz="1200" b="1" baseline="0">
              <a:solidFill>
                <a:schemeClr val="accent2">
                  <a:lumMod val="75000"/>
                </a:schemeClr>
              </a:solidFill>
            </a:rPr>
            <a:t> snippet copied above, and from Kahiltna_K17C.xlsx</a:t>
          </a:r>
        </a:p>
        <a:p>
          <a:endParaRPr lang="en-US" sz="1200" b="1"/>
        </a:p>
        <a:p>
          <a:r>
            <a:rPr lang="en-US" sz="1100" b="1"/>
            <a:t>Old calculation: mass balance</a:t>
          </a:r>
        </a:p>
        <a:p>
          <a:endParaRPr lang="en-US" sz="1100" b="1"/>
        </a:p>
        <a:p>
          <a:r>
            <a:rPr lang="en-US" sz="1100" b="1"/>
            <a:t>bw: </a:t>
          </a:r>
          <a:r>
            <a:rPr lang="en-US" sz="1100" b="0"/>
            <a:t>Snow depth of 3.03, density of 0.41. Single</a:t>
          </a:r>
          <a:r>
            <a:rPr lang="en-US" sz="1100" b="0" baseline="0"/>
            <a:t> d</a:t>
          </a:r>
          <a:r>
            <a:rPr lang="en-US" sz="1100" b="0"/>
            <a:t>epth is the only one reported depth from the site; 0.41 is average of densities measured at K-10 and K17B. This matches new calculation.</a:t>
          </a:r>
        </a:p>
        <a:p>
          <a:endParaRPr lang="en-US" sz="1100" b="0"/>
        </a:p>
        <a:p>
          <a:r>
            <a:rPr lang="en-US" sz="1100" b="1"/>
            <a:t>ba: </a:t>
          </a:r>
          <a:r>
            <a:rPr lang="en-US" sz="1100" b="0"/>
            <a:t>ba is not calculated directly; rather they have it as the sum of winter and summer.</a:t>
          </a:r>
        </a:p>
        <a:p>
          <a:endParaRPr lang="en-US" sz="1100" b="0"/>
        </a:p>
        <a:p>
          <a:r>
            <a:rPr lang="en-US" sz="1100" b="1"/>
            <a:t>bs: </a:t>
          </a:r>
          <a:r>
            <a:rPr lang="en-US" sz="1100" b="0"/>
            <a:t>positive balance year (based</a:t>
          </a:r>
          <a:r>
            <a:rPr lang="en-US" sz="1100" b="0" baseline="0"/>
            <a:t> on stake measurements). Summer balance is (confusingly) calculated as the amount of snow remaining on the glacier in the fall (depth of 2.48 times a density of 0.44 from stake K17B). The NEGATIVE of this (-1* fall accumulation) is assumed to be summer balance... not great. This makes summer and annual balance identical magnitude, but inverse in sign. Additionally, the calculation uses the Mayo pore-space 7% capilary retention confusion formula.</a:t>
          </a:r>
          <a:endParaRPr lang="en-US" sz="1100" b="0"/>
        </a:p>
        <a:p>
          <a:endParaRPr lang="en-US" sz="1100" b="0" baseline="0"/>
        </a:p>
        <a:p>
          <a:r>
            <a:rPr lang="en-US" sz="1100" b="1" baseline="0"/>
            <a:t>New calculation: mass balance  </a:t>
          </a:r>
        </a:p>
        <a:p>
          <a:endParaRPr lang="en-US" sz="1100" b="1" baseline="0"/>
        </a:p>
        <a:p>
          <a:r>
            <a:rPr lang="en-US" sz="1100" b="1" baseline="0"/>
            <a:t>bw:  </a:t>
          </a:r>
          <a:r>
            <a:rPr lang="en-US" sz="1100" b="0" baseline="0"/>
            <a:t>depth of 3.03 (only depth given with no field notes) times density of 0.40 (average of density at the two sites where it was measured; these were each ~ 1 km away though, so not ideal. See map for details).</a:t>
          </a:r>
        </a:p>
        <a:p>
          <a:endParaRPr lang="en-US" sz="1100" b="0" baseline="0"/>
        </a:p>
        <a:p>
          <a:r>
            <a:rPr lang="en-US" sz="1100" b="1" baseline="0"/>
            <a:t>ba</a:t>
          </a:r>
          <a:r>
            <a:rPr lang="en-US" sz="1100" b="0" baseline="0"/>
            <a:t>:  R. Burrows notes that fall 2014 probing entered into new firn; these probed depths should not be trusted (where possible). Rather, depth of snow is calculated based upon stake measurements. This gives a snow depth of 1.69 m in fall; density is assumed to be a generic 0.5 g/ cm^3, a reasonable value for new firn.</a:t>
          </a:r>
        </a:p>
        <a:p>
          <a:endParaRPr lang="en-US" sz="1100" b="1" baseline="0"/>
        </a:p>
        <a:p>
          <a:r>
            <a:rPr lang="en-US" sz="1100" b="1" baseline="0"/>
            <a:t>winter ablation: </a:t>
          </a:r>
        </a:p>
        <a:p>
          <a:r>
            <a:rPr lang="en-US" sz="1100" b="0" baseline="0"/>
            <a:t>Additional lowering of summer 2013 surface seen between fall 2013 trip and probed winter depth. Assumed density of material lost is generic 0.5 g/ cm^3, for new firn.</a:t>
          </a:r>
          <a:endParaRPr lang="en-US" sz="1100" b="1" baseline="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285750</xdr:colOff>
      <xdr:row>19</xdr:row>
      <xdr:rowOff>133351</xdr:rowOff>
    </xdr:from>
    <xdr:to>
      <xdr:col>16</xdr:col>
      <xdr:colOff>333375</xdr:colOff>
      <xdr:row>30</xdr:row>
      <xdr:rowOff>123825</xdr:rowOff>
    </xdr:to>
    <xdr:sp macro="" textlink="">
      <xdr:nvSpPr>
        <xdr:cNvPr id="2" name="Rectangle 1">
          <a:extLst>
            <a:ext uri="{FF2B5EF4-FFF2-40B4-BE49-F238E27FC236}">
              <a16:creationId xmlns:a16="http://schemas.microsoft.com/office/drawing/2014/main" id="{658B31B5-D32A-4D1D-95AF-B67A7BC06FED}"/>
            </a:ext>
          </a:extLst>
        </xdr:cNvPr>
        <xdr:cNvSpPr/>
      </xdr:nvSpPr>
      <xdr:spPr>
        <a:xfrm>
          <a:off x="10706100" y="3105151"/>
          <a:ext cx="3981450" cy="1771649"/>
        </a:xfrm>
        <a:prstGeom prst="rect">
          <a:avLst/>
        </a:prstGeom>
        <a:solidFill>
          <a:schemeClr val="bg2"/>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171450" indent="-171450" algn="l">
            <a:buFont typeface="Arial" panose="020B0604020202020204" pitchFamily="34" charset="0"/>
            <a:buChar char="•"/>
          </a:pPr>
          <a:endParaRPr lang="en-US" sz="1100">
            <a:solidFill>
              <a:sysClr val="windowText" lastClr="000000"/>
            </a:solidFill>
          </a:endParaRPr>
        </a:p>
        <a:p>
          <a:pPr marL="171450" indent="-171450" algn="l">
            <a:buFont typeface="Arial" panose="020B0604020202020204" pitchFamily="34" charset="0"/>
            <a:buChar char="•"/>
          </a:pPr>
          <a:r>
            <a:rPr lang="en-US" sz="1100">
              <a:solidFill>
                <a:sysClr val="windowText" lastClr="000000"/>
              </a:solidFill>
            </a:rPr>
            <a:t>Other info:</a:t>
          </a:r>
        </a:p>
        <a:p>
          <a:pPr marL="171450" indent="-171450" algn="l">
            <a:buFont typeface="Arial" panose="020B0604020202020204" pitchFamily="34" charset="0"/>
            <a:buChar char="•"/>
          </a:pPr>
          <a:endParaRPr lang="en-US" sz="1100">
            <a:solidFill>
              <a:sysClr val="windowText" lastClr="000000"/>
            </a:solidFill>
          </a:endParaRPr>
        </a:p>
        <a:p>
          <a:pPr marL="171450" indent="-171450" algn="l">
            <a:buFont typeface="Arial" panose="020B0604020202020204" pitchFamily="34" charset="0"/>
            <a:buChar char="•"/>
          </a:pPr>
          <a:r>
            <a:rPr lang="en-US" sz="1100">
              <a:solidFill>
                <a:sysClr val="windowText" lastClr="000000"/>
              </a:solidFill>
            </a:rPr>
            <a:t>Difficult</a:t>
          </a:r>
          <a:r>
            <a:rPr lang="en-US" sz="1100" baseline="0">
              <a:solidFill>
                <a:sysClr val="windowText" lastClr="000000"/>
              </a:solidFill>
            </a:rPr>
            <a:t> to distinguish the summer surface in probes; multiple ice layers that might have been it. </a:t>
          </a:r>
          <a:endParaRPr lang="en-US" sz="11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10</xdr:col>
      <xdr:colOff>285750</xdr:colOff>
      <xdr:row>19</xdr:row>
      <xdr:rowOff>133351</xdr:rowOff>
    </xdr:from>
    <xdr:to>
      <xdr:col>16</xdr:col>
      <xdr:colOff>333375</xdr:colOff>
      <xdr:row>30</xdr:row>
      <xdr:rowOff>123825</xdr:rowOff>
    </xdr:to>
    <xdr:sp macro="" textlink="">
      <xdr:nvSpPr>
        <xdr:cNvPr id="2" name="Rectangle 1">
          <a:extLst>
            <a:ext uri="{FF2B5EF4-FFF2-40B4-BE49-F238E27FC236}">
              <a16:creationId xmlns:a16="http://schemas.microsoft.com/office/drawing/2014/main" id="{5A6F6C44-8DF2-4D08-8902-F85F8C7235F3}"/>
            </a:ext>
          </a:extLst>
        </xdr:cNvPr>
        <xdr:cNvSpPr/>
      </xdr:nvSpPr>
      <xdr:spPr>
        <a:xfrm>
          <a:off x="10706100" y="3105151"/>
          <a:ext cx="3981450" cy="1771649"/>
        </a:xfrm>
        <a:prstGeom prst="rect">
          <a:avLst/>
        </a:prstGeom>
        <a:solidFill>
          <a:schemeClr val="bg2"/>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171450" indent="-171450" algn="l">
            <a:buFont typeface="Arial" panose="020B0604020202020204" pitchFamily="34" charset="0"/>
            <a:buChar char="•"/>
          </a:pPr>
          <a:endParaRPr lang="en-US" sz="1100">
            <a:solidFill>
              <a:sysClr val="windowText" lastClr="000000"/>
            </a:solidFill>
          </a:endParaRPr>
        </a:p>
        <a:p>
          <a:pPr marL="171450" indent="-171450" algn="l">
            <a:buFont typeface="Arial" panose="020B0604020202020204" pitchFamily="34" charset="0"/>
            <a:buChar char="•"/>
          </a:pPr>
          <a:r>
            <a:rPr lang="en-US" sz="1100">
              <a:solidFill>
                <a:sysClr val="windowText" lastClr="000000"/>
              </a:solidFill>
            </a:rPr>
            <a:t>Other info:</a:t>
          </a:r>
        </a:p>
        <a:p>
          <a:pPr marL="171450" indent="-171450" algn="l">
            <a:buFont typeface="Arial" panose="020B0604020202020204" pitchFamily="34" charset="0"/>
            <a:buChar char="•"/>
          </a:pPr>
          <a:endParaRPr lang="en-US" sz="1100">
            <a:solidFill>
              <a:sysClr val="windowText" lastClr="000000"/>
            </a:solidFill>
          </a:endParaRPr>
        </a:p>
        <a:p>
          <a:pPr marL="171450" indent="-171450" algn="l">
            <a:buFont typeface="Arial" panose="020B0604020202020204" pitchFamily="34" charset="0"/>
            <a:buChar char="•"/>
          </a:pPr>
          <a:r>
            <a:rPr lang="en-US" sz="1100">
              <a:solidFill>
                <a:sysClr val="windowText" lastClr="000000"/>
              </a:solidFill>
            </a:rPr>
            <a:t>Difficult</a:t>
          </a:r>
          <a:r>
            <a:rPr lang="en-US" sz="1100" baseline="0">
              <a:solidFill>
                <a:sysClr val="windowText" lastClr="000000"/>
              </a:solidFill>
            </a:rPr>
            <a:t> to distinguish the summer surface in probes; multiple ice layers that might have been it. </a:t>
          </a:r>
          <a:endParaRPr lang="en-US" sz="1100">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285750</xdr:colOff>
      <xdr:row>18</xdr:row>
      <xdr:rowOff>133351</xdr:rowOff>
    </xdr:from>
    <xdr:to>
      <xdr:col>16</xdr:col>
      <xdr:colOff>333375</xdr:colOff>
      <xdr:row>29</xdr:row>
      <xdr:rowOff>123825</xdr:rowOff>
    </xdr:to>
    <xdr:sp macro="" textlink="">
      <xdr:nvSpPr>
        <xdr:cNvPr id="2" name="Rectangle 1">
          <a:extLst>
            <a:ext uri="{FF2B5EF4-FFF2-40B4-BE49-F238E27FC236}">
              <a16:creationId xmlns:a16="http://schemas.microsoft.com/office/drawing/2014/main" id="{8DA7CD51-74B1-480D-9C6C-767EBF812C93}"/>
            </a:ext>
          </a:extLst>
        </xdr:cNvPr>
        <xdr:cNvSpPr/>
      </xdr:nvSpPr>
      <xdr:spPr>
        <a:xfrm>
          <a:off x="10706100" y="3105151"/>
          <a:ext cx="3981450" cy="1771649"/>
        </a:xfrm>
        <a:prstGeom prst="rect">
          <a:avLst/>
        </a:prstGeom>
        <a:solidFill>
          <a:schemeClr val="bg2"/>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171450" indent="-171450" algn="l">
            <a:buFont typeface="Arial" panose="020B0604020202020204" pitchFamily="34" charset="0"/>
            <a:buChar char="•"/>
          </a:pPr>
          <a:endParaRPr lang="en-US" sz="1100">
            <a:solidFill>
              <a:sysClr val="windowText" lastClr="000000"/>
            </a:solidFill>
          </a:endParaRPr>
        </a:p>
        <a:p>
          <a:pPr marL="171450" indent="-171450" algn="l">
            <a:buFont typeface="Arial" panose="020B0604020202020204" pitchFamily="34" charset="0"/>
            <a:buChar char="•"/>
          </a:pPr>
          <a:r>
            <a:rPr lang="en-US" sz="1100">
              <a:solidFill>
                <a:sysClr val="windowText" lastClr="000000"/>
              </a:solidFill>
            </a:rPr>
            <a:t>Other info:</a:t>
          </a:r>
        </a:p>
        <a:p>
          <a:pPr marL="171450" indent="-171450" algn="l">
            <a:buFont typeface="Arial" panose="020B0604020202020204" pitchFamily="34" charset="0"/>
            <a:buChar char="•"/>
          </a:pPr>
          <a:endParaRPr lang="en-US" sz="1100">
            <a:solidFill>
              <a:sysClr val="windowText" lastClr="000000"/>
            </a:solidFill>
          </a:endParaRPr>
        </a:p>
        <a:p>
          <a:pPr marL="171450" indent="-171450" algn="l">
            <a:buFont typeface="Arial" panose="020B0604020202020204" pitchFamily="34" charset="0"/>
            <a:buChar char="•"/>
          </a:pPr>
          <a:r>
            <a:rPr lang="en-US" sz="1100">
              <a:solidFill>
                <a:sysClr val="windowText" lastClr="000000"/>
              </a:solidFill>
            </a:rPr>
            <a:t>Difficult</a:t>
          </a:r>
          <a:r>
            <a:rPr lang="en-US" sz="1100" baseline="0">
              <a:solidFill>
                <a:sysClr val="windowText" lastClr="000000"/>
              </a:solidFill>
            </a:rPr>
            <a:t> to distinguish the summer surface in probes; multiple ice layers that might have been it. </a:t>
          </a:r>
          <a:endParaRPr lang="en-US" sz="1100">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10</xdr:col>
      <xdr:colOff>285750</xdr:colOff>
      <xdr:row>19</xdr:row>
      <xdr:rowOff>133351</xdr:rowOff>
    </xdr:from>
    <xdr:to>
      <xdr:col>16</xdr:col>
      <xdr:colOff>333375</xdr:colOff>
      <xdr:row>30</xdr:row>
      <xdr:rowOff>123825</xdr:rowOff>
    </xdr:to>
    <xdr:sp macro="" textlink="">
      <xdr:nvSpPr>
        <xdr:cNvPr id="2" name="Rectangle 1">
          <a:extLst>
            <a:ext uri="{FF2B5EF4-FFF2-40B4-BE49-F238E27FC236}">
              <a16:creationId xmlns:a16="http://schemas.microsoft.com/office/drawing/2014/main" id="{693B23BE-2B26-4060-B059-3DAD87DC4FA6}"/>
            </a:ext>
          </a:extLst>
        </xdr:cNvPr>
        <xdr:cNvSpPr/>
      </xdr:nvSpPr>
      <xdr:spPr>
        <a:xfrm>
          <a:off x="10706100" y="3105151"/>
          <a:ext cx="3981450" cy="1771649"/>
        </a:xfrm>
        <a:prstGeom prst="rect">
          <a:avLst/>
        </a:prstGeom>
        <a:solidFill>
          <a:schemeClr val="bg2"/>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171450" indent="-171450" algn="l">
            <a:buFont typeface="Arial" panose="020B0604020202020204" pitchFamily="34" charset="0"/>
            <a:buChar char="•"/>
          </a:pPr>
          <a:endParaRPr lang="en-US" sz="1100">
            <a:solidFill>
              <a:sysClr val="windowText" lastClr="000000"/>
            </a:solidFill>
          </a:endParaRPr>
        </a:p>
        <a:p>
          <a:pPr marL="171450" indent="-171450" algn="l">
            <a:buFont typeface="Arial" panose="020B0604020202020204" pitchFamily="34" charset="0"/>
            <a:buChar char="•"/>
          </a:pPr>
          <a:r>
            <a:rPr lang="en-US" sz="1100">
              <a:solidFill>
                <a:sysClr val="windowText" lastClr="000000"/>
              </a:solidFill>
            </a:rPr>
            <a:t>Other info:</a:t>
          </a:r>
        </a:p>
        <a:p>
          <a:pPr marL="171450" indent="-171450" algn="l">
            <a:buFont typeface="Arial" panose="020B0604020202020204" pitchFamily="34" charset="0"/>
            <a:buChar char="•"/>
          </a:pPr>
          <a:endParaRPr lang="en-US" sz="1100">
            <a:solidFill>
              <a:sysClr val="windowText" lastClr="000000"/>
            </a:solidFill>
          </a:endParaRPr>
        </a:p>
        <a:p>
          <a:pPr marL="171450" indent="-171450" algn="l">
            <a:buFont typeface="Arial" panose="020B0604020202020204" pitchFamily="34" charset="0"/>
            <a:buChar char="•"/>
          </a:pPr>
          <a:r>
            <a:rPr lang="en-US" sz="1100">
              <a:solidFill>
                <a:sysClr val="windowText" lastClr="000000"/>
              </a:solidFill>
            </a:rPr>
            <a:t>Some new snow HOBO # 10304748 recovered from stake. Recovered HOBO ~ 5 cm above snow surface. New HOBOs installed: #10414774 (@ snow surface on 8/21/2015, 2.1 m below top of stake) , #10414773 (1.6 m below top of stake),   #10414781 (1.1 m below top of stake) , #10414777 (0.60 m below top of stake),  #10414780 (0.10 m below top of stake)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8.xml"/><Relationship Id="rId1" Type="http://schemas.openxmlformats.org/officeDocument/2006/relationships/printerSettings" Target="../printerSettings/printerSettings5.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96953-2EBB-49DE-B5A6-1715FE1615DF}">
  <dimension ref="A1:Y41"/>
  <sheetViews>
    <sheetView tabSelected="1" topLeftCell="A9" workbookViewId="0">
      <selection activeCell="C58" sqref="C58"/>
    </sheetView>
  </sheetViews>
  <sheetFormatPr defaultRowHeight="15" x14ac:dyDescent="0.25"/>
  <cols>
    <col min="1" max="1" width="10.28515625" bestFit="1" customWidth="1"/>
    <col min="2" max="2" width="12.85546875" customWidth="1"/>
    <col min="3" max="3" width="11.28515625" customWidth="1"/>
    <col min="4" max="4" width="9.5703125" customWidth="1"/>
    <col min="5" max="5" width="9.140625" customWidth="1"/>
    <col min="6" max="6" width="8.7109375" customWidth="1"/>
    <col min="7" max="7" width="8.85546875" customWidth="1"/>
    <col min="8" max="8" width="6.42578125" customWidth="1"/>
    <col min="9" max="9" width="8.28515625" customWidth="1"/>
    <col min="12" max="12" width="11.42578125" customWidth="1"/>
    <col min="13" max="13" width="7.7109375" customWidth="1"/>
    <col min="14" max="14" width="7.140625" customWidth="1"/>
    <col min="20" max="20" width="13.140625" bestFit="1" customWidth="1"/>
    <col min="21" max="21" width="9" customWidth="1"/>
    <col min="24" max="24" width="8.7109375" customWidth="1"/>
    <col min="25" max="25" width="39.28515625" customWidth="1"/>
  </cols>
  <sheetData>
    <row r="1" spans="1:21" ht="16.5" thickBot="1" x14ac:dyDescent="0.3">
      <c r="A1" s="1" t="s">
        <v>0</v>
      </c>
    </row>
    <row r="2" spans="1:21" x14ac:dyDescent="0.25">
      <c r="A2" s="87"/>
      <c r="B2" s="88"/>
      <c r="C2" s="523" t="s">
        <v>14</v>
      </c>
      <c r="D2" s="524"/>
      <c r="E2" s="524"/>
      <c r="F2" s="89"/>
      <c r="G2" s="90" t="s">
        <v>15</v>
      </c>
      <c r="H2" s="91"/>
      <c r="I2" s="91"/>
      <c r="J2" s="91"/>
      <c r="K2" s="91"/>
      <c r="L2" s="92" t="s">
        <v>16</v>
      </c>
      <c r="M2" s="505" t="s">
        <v>17</v>
      </c>
      <c r="N2" s="506"/>
      <c r="O2" s="506"/>
      <c r="P2" s="507" t="s">
        <v>18</v>
      </c>
      <c r="Q2" s="508"/>
      <c r="R2" s="508"/>
      <c r="S2" s="508"/>
      <c r="T2" s="93" t="s">
        <v>19</v>
      </c>
      <c r="U2" s="93" t="s">
        <v>20</v>
      </c>
    </row>
    <row r="3" spans="1:21" x14ac:dyDescent="0.25">
      <c r="A3" s="94" t="s">
        <v>21</v>
      </c>
      <c r="B3" s="94" t="s">
        <v>22</v>
      </c>
      <c r="C3" s="95" t="s">
        <v>23</v>
      </c>
      <c r="D3" s="509" t="s">
        <v>24</v>
      </c>
      <c r="E3" s="510"/>
      <c r="F3" s="94" t="s">
        <v>25</v>
      </c>
      <c r="G3" s="96" t="s">
        <v>26</v>
      </c>
      <c r="H3" s="97" t="s">
        <v>27</v>
      </c>
      <c r="I3" s="97" t="s">
        <v>28</v>
      </c>
      <c r="J3" s="98"/>
      <c r="K3" s="99" t="s">
        <v>29</v>
      </c>
      <c r="L3" s="100" t="s">
        <v>30</v>
      </c>
      <c r="M3" s="100" t="s">
        <v>31</v>
      </c>
      <c r="N3" s="101" t="s">
        <v>21</v>
      </c>
      <c r="O3" s="102" t="s">
        <v>32</v>
      </c>
      <c r="P3" s="100" t="s">
        <v>33</v>
      </c>
      <c r="Q3" s="103" t="s">
        <v>34</v>
      </c>
      <c r="R3" s="104" t="s">
        <v>35</v>
      </c>
      <c r="S3" s="101" t="s">
        <v>36</v>
      </c>
      <c r="T3" s="105" t="s">
        <v>37</v>
      </c>
      <c r="U3" s="105" t="s">
        <v>37</v>
      </c>
    </row>
    <row r="4" spans="1:21" ht="15.75" thickBot="1" x14ac:dyDescent="0.3">
      <c r="A4" s="94" t="s">
        <v>38</v>
      </c>
      <c r="B4" s="94"/>
      <c r="C4" s="106" t="s">
        <v>39</v>
      </c>
      <c r="D4" s="107" t="s">
        <v>40</v>
      </c>
      <c r="E4" s="107" t="s">
        <v>41</v>
      </c>
      <c r="F4" s="108"/>
      <c r="G4" s="109" t="s">
        <v>42</v>
      </c>
      <c r="H4" s="110" t="s">
        <v>42</v>
      </c>
      <c r="I4" s="110" t="s">
        <v>42</v>
      </c>
      <c r="J4" s="98"/>
      <c r="K4" s="99"/>
      <c r="L4" s="109" t="s">
        <v>43</v>
      </c>
      <c r="M4" s="111" t="s">
        <v>44</v>
      </c>
      <c r="N4" s="112" t="s">
        <v>45</v>
      </c>
      <c r="O4" s="112" t="s">
        <v>46</v>
      </c>
      <c r="P4" s="113" t="s">
        <v>42</v>
      </c>
      <c r="Q4" s="114" t="s">
        <v>44</v>
      </c>
      <c r="R4" s="115" t="s">
        <v>47</v>
      </c>
      <c r="S4" s="112" t="s">
        <v>48</v>
      </c>
      <c r="T4" s="116" t="s">
        <v>49</v>
      </c>
      <c r="U4" s="116" t="s">
        <v>50</v>
      </c>
    </row>
    <row r="5" spans="1:21" ht="34.5" thickBot="1" x14ac:dyDescent="0.3">
      <c r="A5" s="117"/>
      <c r="B5" s="117" t="s">
        <v>51</v>
      </c>
      <c r="C5" s="118" t="s">
        <v>52</v>
      </c>
      <c r="D5" s="119" t="s">
        <v>52</v>
      </c>
      <c r="E5" s="119" t="s">
        <v>52</v>
      </c>
      <c r="F5" s="120"/>
      <c r="G5" s="121" t="s">
        <v>52</v>
      </c>
      <c r="H5" s="122" t="s">
        <v>52</v>
      </c>
      <c r="I5" s="122" t="s">
        <v>53</v>
      </c>
      <c r="J5" s="123" t="s">
        <v>54</v>
      </c>
      <c r="K5" s="124"/>
      <c r="L5" s="121" t="s">
        <v>52</v>
      </c>
      <c r="M5" s="125" t="s">
        <v>55</v>
      </c>
      <c r="N5" s="126" t="s">
        <v>56</v>
      </c>
      <c r="O5" s="126" t="s">
        <v>56</v>
      </c>
      <c r="P5" s="125" t="s">
        <v>52</v>
      </c>
      <c r="Q5" s="127" t="s">
        <v>55</v>
      </c>
      <c r="R5" s="128" t="s">
        <v>57</v>
      </c>
      <c r="S5" s="126" t="s">
        <v>56</v>
      </c>
      <c r="T5" s="129" t="s">
        <v>56</v>
      </c>
      <c r="U5" s="129" t="s">
        <v>56</v>
      </c>
    </row>
    <row r="6" spans="1:21" s="202" customFormat="1" x14ac:dyDescent="0.25">
      <c r="A6" s="189" t="s">
        <v>7</v>
      </c>
      <c r="B6" s="190">
        <v>41487</v>
      </c>
      <c r="C6" s="191">
        <f>9-2.83</f>
        <v>6.17</v>
      </c>
      <c r="D6" s="192">
        <v>0</v>
      </c>
      <c r="E6" s="193">
        <v>0</v>
      </c>
      <c r="F6" s="194" t="s">
        <v>2</v>
      </c>
      <c r="G6" s="195">
        <v>1.4</v>
      </c>
      <c r="H6" s="196" t="s">
        <v>3</v>
      </c>
      <c r="I6" s="196" t="s">
        <v>3</v>
      </c>
      <c r="J6" s="197" t="s">
        <v>3</v>
      </c>
      <c r="K6" s="198">
        <v>1</v>
      </c>
      <c r="L6" s="195">
        <f>C6</f>
        <v>6.17</v>
      </c>
      <c r="M6" s="199"/>
      <c r="N6" s="200"/>
      <c r="O6" s="196"/>
      <c r="P6" s="195">
        <f>G6</f>
        <v>1.4</v>
      </c>
      <c r="Q6" s="196">
        <f>Q19</f>
        <v>0.4366666666666667</v>
      </c>
      <c r="R6" s="198" t="s">
        <v>4</v>
      </c>
      <c r="S6" s="200">
        <f>((P6*Q6)-(P6*(1-(Q6/0.9)))*0.07)</f>
        <v>0.56088148148148154</v>
      </c>
      <c r="T6" s="201"/>
      <c r="U6" s="201">
        <f>S6</f>
        <v>0.56088148148148154</v>
      </c>
    </row>
    <row r="7" spans="1:21" s="395" customFormat="1" x14ac:dyDescent="0.25">
      <c r="A7" s="383" t="s">
        <v>12</v>
      </c>
      <c r="B7" s="384">
        <v>41487</v>
      </c>
      <c r="C7" s="385">
        <f>6-1.83</f>
        <v>4.17</v>
      </c>
      <c r="D7" s="386">
        <v>0</v>
      </c>
      <c r="E7" s="387">
        <v>0</v>
      </c>
      <c r="F7" s="388" t="s">
        <v>2</v>
      </c>
      <c r="G7" s="389">
        <v>1.6</v>
      </c>
      <c r="H7" s="390" t="s">
        <v>3</v>
      </c>
      <c r="I7" s="390" t="s">
        <v>3</v>
      </c>
      <c r="J7" s="391" t="s">
        <v>3</v>
      </c>
      <c r="K7" s="392">
        <v>1</v>
      </c>
      <c r="L7" s="389">
        <f>C7</f>
        <v>4.17</v>
      </c>
      <c r="M7" s="393"/>
      <c r="N7" s="394"/>
      <c r="O7" s="390"/>
      <c r="P7" s="389">
        <f>G7</f>
        <v>1.6</v>
      </c>
      <c r="Q7" s="390">
        <f>Q19</f>
        <v>0.4366666666666667</v>
      </c>
      <c r="R7" s="392" t="s">
        <v>4</v>
      </c>
      <c r="S7" s="394">
        <f>((P7*Q7)-(P7*(1-(Q7/0.9)))*0.07)</f>
        <v>0.64100740740740747</v>
      </c>
      <c r="T7" s="394"/>
      <c r="U7" s="394">
        <f>S7</f>
        <v>0.64100740740740747</v>
      </c>
    </row>
    <row r="8" spans="1:21" x14ac:dyDescent="0.25">
      <c r="A8" s="2" t="s">
        <v>1</v>
      </c>
      <c r="B8" s="3">
        <v>41487</v>
      </c>
      <c r="C8" s="4">
        <f>(30/3.2808)-3.38</f>
        <v>5.7641111923920993</v>
      </c>
      <c r="D8" s="5">
        <v>0</v>
      </c>
      <c r="E8" s="6">
        <v>0</v>
      </c>
      <c r="F8" s="7" t="s">
        <v>2</v>
      </c>
      <c r="G8" s="8">
        <v>1.55</v>
      </c>
      <c r="H8" s="9" t="s">
        <v>3</v>
      </c>
      <c r="I8" s="9" t="s">
        <v>3</v>
      </c>
      <c r="J8" s="9">
        <v>7.0000000000000284E-2</v>
      </c>
      <c r="K8" s="10">
        <v>1</v>
      </c>
      <c r="L8" s="8">
        <f>C8</f>
        <v>5.7641111923920993</v>
      </c>
      <c r="M8" s="11"/>
      <c r="N8" s="12"/>
      <c r="O8" s="9"/>
      <c r="P8" s="8">
        <f>G8</f>
        <v>1.55</v>
      </c>
      <c r="Q8" s="9">
        <f>Q19</f>
        <v>0.4366666666666667</v>
      </c>
      <c r="R8" s="10" t="s">
        <v>4</v>
      </c>
      <c r="S8" s="12">
        <f>((P8*Q8)-(P8*(1-(Q8/0.9)))*0.07)</f>
        <v>0.62097592592592599</v>
      </c>
      <c r="T8" s="13">
        <v>-0.44402407407407396</v>
      </c>
      <c r="U8" s="13">
        <f>S8</f>
        <v>0.62097592592592599</v>
      </c>
    </row>
    <row r="9" spans="1:21" x14ac:dyDescent="0.25">
      <c r="A9" s="14" t="s">
        <v>5</v>
      </c>
      <c r="B9" s="15">
        <v>41487</v>
      </c>
      <c r="C9" s="16">
        <f>(30/3.2808)-3.63</f>
        <v>5.5141111923920993</v>
      </c>
      <c r="D9" s="17">
        <v>0</v>
      </c>
      <c r="E9" s="18">
        <v>0</v>
      </c>
      <c r="F9" s="17" t="s">
        <v>2</v>
      </c>
      <c r="G9" s="19">
        <v>1.25</v>
      </c>
      <c r="H9" s="20">
        <f>AVERAGE(1.83,1.8)</f>
        <v>1.8149999999999999</v>
      </c>
      <c r="I9" s="20">
        <f>AVERAGE(1.25,1.83,1.8)</f>
        <v>1.6266666666666667</v>
      </c>
      <c r="J9" s="20">
        <v>-0.49000000000000021</v>
      </c>
      <c r="K9" s="21">
        <v>3</v>
      </c>
      <c r="L9" s="22">
        <f>C9</f>
        <v>5.5141111923920993</v>
      </c>
      <c r="M9" s="11"/>
      <c r="N9" s="13"/>
      <c r="O9" s="20"/>
      <c r="P9" s="22">
        <f>I9</f>
        <v>1.6266666666666667</v>
      </c>
      <c r="Q9" s="20">
        <f>Q19</f>
        <v>0.4366666666666667</v>
      </c>
      <c r="R9" s="21" t="s">
        <v>4</v>
      </c>
      <c r="S9" s="13">
        <f>((P9*Q9)-(P9*(1-(Q9/0.9)))*0.07)</f>
        <v>0.65169086419753097</v>
      </c>
      <c r="T9" s="13">
        <v>-0.21830913580246902</v>
      </c>
      <c r="U9" s="13">
        <f>S9</f>
        <v>0.65169086419753097</v>
      </c>
    </row>
    <row r="10" spans="1:21" ht="15.75" thickBot="1" x14ac:dyDescent="0.3">
      <c r="A10" s="23" t="s">
        <v>6</v>
      </c>
      <c r="B10" s="24">
        <v>41487</v>
      </c>
      <c r="C10" s="25">
        <f>(30/3.2808)-3.76</f>
        <v>5.3841111923920995</v>
      </c>
      <c r="D10" s="26">
        <v>0</v>
      </c>
      <c r="E10" s="27">
        <v>0</v>
      </c>
      <c r="F10" s="28" t="s">
        <v>2</v>
      </c>
      <c r="G10" s="29">
        <v>1.32</v>
      </c>
      <c r="H10" s="30">
        <f>AVERAGE(1.83,1.84)</f>
        <v>1.835</v>
      </c>
      <c r="I10" s="30">
        <f>AVERAGE(1.32,1.83,1.84)</f>
        <v>1.6633333333333333</v>
      </c>
      <c r="J10" s="31">
        <v>-1.0000000000000675E-2</v>
      </c>
      <c r="K10" s="32">
        <v>3</v>
      </c>
      <c r="L10" s="29">
        <f>C10</f>
        <v>5.3841111923920995</v>
      </c>
      <c r="M10" s="11"/>
      <c r="N10" s="30"/>
      <c r="O10" s="31"/>
      <c r="P10" s="29">
        <f>I10</f>
        <v>1.6633333333333333</v>
      </c>
      <c r="Q10" s="31">
        <f>Q19</f>
        <v>0.4366666666666667</v>
      </c>
      <c r="R10" s="32" t="s">
        <v>4</v>
      </c>
      <c r="S10" s="30">
        <f>((P10*Q10)-(P10*(1-(Q10/0.9)))*0.07)</f>
        <v>0.6663806172839507</v>
      </c>
      <c r="T10" s="13">
        <v>-0.32886938271604926</v>
      </c>
      <c r="U10" s="13">
        <f>S10</f>
        <v>0.6663806172839507</v>
      </c>
    </row>
    <row r="11" spans="1:21" s="202" customFormat="1" x14ac:dyDescent="0.25">
      <c r="A11" s="203" t="s">
        <v>7</v>
      </c>
      <c r="B11" s="190">
        <v>41797</v>
      </c>
      <c r="C11" s="204">
        <f>SIN(RADIANS(80))*(9-0.52)</f>
        <v>8.3511697455435243</v>
      </c>
      <c r="D11" s="192">
        <v>0</v>
      </c>
      <c r="E11" s="193">
        <v>0</v>
      </c>
      <c r="F11" s="194" t="s">
        <v>8</v>
      </c>
      <c r="G11" s="195">
        <v>2.8</v>
      </c>
      <c r="H11" s="205" t="s">
        <v>3</v>
      </c>
      <c r="I11" s="196" t="s">
        <v>3</v>
      </c>
      <c r="J11" s="196">
        <v>-0.61883025445647544</v>
      </c>
      <c r="K11" s="206">
        <v>1</v>
      </c>
      <c r="L11" s="195">
        <f>L6</f>
        <v>6.17</v>
      </c>
      <c r="M11" s="207"/>
      <c r="N11" s="208"/>
      <c r="O11" s="208"/>
      <c r="P11" s="195">
        <f>G11</f>
        <v>2.8</v>
      </c>
      <c r="Q11" s="196">
        <f>AVERAGE(Q14,Q12)</f>
        <v>0.41000387087905743</v>
      </c>
      <c r="R11" s="196" t="s">
        <v>4</v>
      </c>
      <c r="S11" s="200">
        <f>P11*Q11</f>
        <v>1.1480108384613608</v>
      </c>
      <c r="T11" s="195">
        <f>S11</f>
        <v>1.1480108384613608</v>
      </c>
      <c r="U11" s="199" t="s">
        <v>3</v>
      </c>
    </row>
    <row r="12" spans="1:21" s="426" customFormat="1" x14ac:dyDescent="0.25">
      <c r="A12" s="413" t="str">
        <f>A7</f>
        <v>10-K17-6M</v>
      </c>
      <c r="B12" s="414">
        <v>41797</v>
      </c>
      <c r="C12" s="415" t="s">
        <v>9</v>
      </c>
      <c r="D12" s="416">
        <v>0</v>
      </c>
      <c r="E12" s="417">
        <v>0</v>
      </c>
      <c r="F12" s="418" t="s">
        <v>8</v>
      </c>
      <c r="G12" s="419">
        <v>2.73</v>
      </c>
      <c r="H12" s="420">
        <f>AVERAGE(2.69,3.1,3.15,3.23,2.72,2.93,2.69,2.81,3.17)</f>
        <v>2.9433333333333334</v>
      </c>
      <c r="I12" s="421">
        <f>AVERAGE(2.73,2.69,3.1,3.15,3.23,2.72,2.93,2.69,2.81,3.17)</f>
        <v>2.9219999999999997</v>
      </c>
      <c r="J12" s="420" t="s">
        <v>10</v>
      </c>
      <c r="K12" s="422">
        <v>10</v>
      </c>
      <c r="L12" s="419">
        <f>L7</f>
        <v>4.17</v>
      </c>
      <c r="M12" s="423"/>
      <c r="N12" s="424"/>
      <c r="O12" s="424"/>
      <c r="P12" s="419">
        <f>I12</f>
        <v>2.9219999999999997</v>
      </c>
      <c r="Q12" s="420">
        <v>0.37333333333333335</v>
      </c>
      <c r="R12" s="420" t="s">
        <v>11</v>
      </c>
      <c r="S12" s="421">
        <f>P12*Q12</f>
        <v>1.0908799999999998</v>
      </c>
      <c r="T12" s="419">
        <f>S12</f>
        <v>1.0908799999999998</v>
      </c>
      <c r="U12" s="425" t="s">
        <v>3</v>
      </c>
    </row>
    <row r="13" spans="1:21" x14ac:dyDescent="0.25">
      <c r="A13" s="61" t="s">
        <v>1</v>
      </c>
      <c r="B13" s="34">
        <v>41797</v>
      </c>
      <c r="C13" s="35">
        <f>SIN(RADIANS(80))*((30/3.2808)-0.7)</f>
        <v>8.3158261695649003</v>
      </c>
      <c r="D13" s="36">
        <v>0</v>
      </c>
      <c r="E13" s="37">
        <v>0</v>
      </c>
      <c r="F13" s="38" t="s">
        <v>8</v>
      </c>
      <c r="G13" s="39">
        <v>3.2</v>
      </c>
      <c r="H13" s="41" t="s">
        <v>3</v>
      </c>
      <c r="I13" s="41" t="s">
        <v>3</v>
      </c>
      <c r="J13" s="42">
        <v>-0.64828502282719924</v>
      </c>
      <c r="K13" s="43">
        <v>1</v>
      </c>
      <c r="L13" s="39">
        <f>L8</f>
        <v>5.7641111923920993</v>
      </c>
      <c r="M13" s="44"/>
      <c r="N13" s="45"/>
      <c r="O13" s="45"/>
      <c r="P13" s="39">
        <f>G13</f>
        <v>3.2</v>
      </c>
      <c r="Q13" s="41">
        <f>AVERAGE(Q12,Q14)</f>
        <v>0.41000387087905743</v>
      </c>
      <c r="R13" s="46" t="s">
        <v>4</v>
      </c>
      <c r="S13" s="46">
        <f>P13*Q13</f>
        <v>1.3120123868129838</v>
      </c>
      <c r="T13" s="39">
        <f>S13</f>
        <v>1.3120123868129838</v>
      </c>
      <c r="U13" s="47" t="s">
        <v>3</v>
      </c>
    </row>
    <row r="14" spans="1:21" x14ac:dyDescent="0.25">
      <c r="A14" s="48" t="s">
        <v>5</v>
      </c>
      <c r="B14" s="49">
        <v>41797</v>
      </c>
      <c r="C14" s="50">
        <f>SIN(RADIANS(80))*((30/3.2808)-1.8)</f>
        <v>7.2325376412514712</v>
      </c>
      <c r="D14" s="51">
        <v>0</v>
      </c>
      <c r="E14" s="52">
        <v>0</v>
      </c>
      <c r="F14" s="53" t="s">
        <v>8</v>
      </c>
      <c r="G14" s="54">
        <v>3.08</v>
      </c>
      <c r="H14" s="55">
        <f>AVERAGE(3.1,3.04,3.2,3.04,3.05,3.09,3.07,3.22,3.13)</f>
        <v>3.1044444444444443</v>
      </c>
      <c r="I14" s="56">
        <f>AVERAGE(3.08,3.1,3.04,3.2,3.04,3.05,3.09,3.07,3.22,3.13)</f>
        <v>3.1019999999999994</v>
      </c>
      <c r="J14" s="57">
        <v>-1.3615735511406282</v>
      </c>
      <c r="K14" s="58">
        <v>10</v>
      </c>
      <c r="L14" s="54">
        <f>L9</f>
        <v>5.5141111923920993</v>
      </c>
      <c r="M14" s="44"/>
      <c r="N14" s="59"/>
      <c r="O14" s="59"/>
      <c r="P14" s="54">
        <f>I14</f>
        <v>3.1019999999999994</v>
      </c>
      <c r="Q14" s="55">
        <v>0.44667440842478157</v>
      </c>
      <c r="R14" s="55" t="s">
        <v>11</v>
      </c>
      <c r="S14" s="56">
        <f>P14*Q14</f>
        <v>1.3855840149336722</v>
      </c>
      <c r="T14" s="54">
        <f>S14</f>
        <v>1.3855840149336722</v>
      </c>
      <c r="U14" s="60" t="s">
        <v>3</v>
      </c>
    </row>
    <row r="15" spans="1:21" ht="15.75" thickBot="1" x14ac:dyDescent="0.3">
      <c r="A15" s="62" t="s">
        <v>6</v>
      </c>
      <c r="B15" s="63">
        <v>41797</v>
      </c>
      <c r="C15" s="64">
        <f>(30/3.2808)-1.12</f>
        <v>8.0241111923920982</v>
      </c>
      <c r="D15" s="65">
        <v>0</v>
      </c>
      <c r="E15" s="66">
        <v>0</v>
      </c>
      <c r="F15" s="67" t="s">
        <v>8</v>
      </c>
      <c r="G15" s="68">
        <v>3.03</v>
      </c>
      <c r="H15" s="69" t="s">
        <v>3</v>
      </c>
      <c r="I15" s="69" t="s">
        <v>3</v>
      </c>
      <c r="J15" s="70">
        <v>-0.39000000000000057</v>
      </c>
      <c r="K15" s="71">
        <v>1</v>
      </c>
      <c r="L15" s="68">
        <f>L10</f>
        <v>5.3841111923920995</v>
      </c>
      <c r="M15" s="44"/>
      <c r="N15" s="72"/>
      <c r="O15" s="72"/>
      <c r="P15" s="68">
        <f>G15</f>
        <v>3.03</v>
      </c>
      <c r="Q15" s="69">
        <f>AVERAGE(Q14,Q12)</f>
        <v>0.41000387087905743</v>
      </c>
      <c r="R15" s="73" t="s">
        <v>4</v>
      </c>
      <c r="S15" s="73">
        <f>P15*Q15</f>
        <v>1.2423117287635439</v>
      </c>
      <c r="T15" s="68">
        <f>S15</f>
        <v>1.2423117287635439</v>
      </c>
      <c r="U15" s="74" t="s">
        <v>3</v>
      </c>
    </row>
    <row r="16" spans="1:21" x14ac:dyDescent="0.25">
      <c r="A16" s="2" t="s">
        <v>7</v>
      </c>
      <c r="B16" s="75">
        <v>41872</v>
      </c>
      <c r="C16" s="76">
        <f>9-1.57</f>
        <v>7.43</v>
      </c>
      <c r="D16" s="5">
        <v>0</v>
      </c>
      <c r="E16" s="6">
        <v>0</v>
      </c>
      <c r="F16" s="7" t="s">
        <v>2</v>
      </c>
      <c r="G16" s="11">
        <v>2.0499999999999998</v>
      </c>
      <c r="H16" s="9" t="s">
        <v>3</v>
      </c>
      <c r="I16" s="9" t="s">
        <v>3</v>
      </c>
      <c r="J16" s="9">
        <v>-0.79</v>
      </c>
      <c r="K16" s="10">
        <v>1</v>
      </c>
      <c r="L16" s="11">
        <f t="shared" ref="L16:L20" si="0">C16</f>
        <v>7.43</v>
      </c>
      <c r="M16" s="11">
        <f>M29</f>
        <v>0</v>
      </c>
      <c r="N16" s="12">
        <f t="shared" ref="N16:N20" si="1">L16*M16</f>
        <v>0</v>
      </c>
      <c r="O16" s="9">
        <f>N16-N11</f>
        <v>0</v>
      </c>
      <c r="P16" s="8">
        <f>G16</f>
        <v>2.0499999999999998</v>
      </c>
      <c r="Q16" s="9">
        <f>Q19</f>
        <v>0.4366666666666667</v>
      </c>
      <c r="R16" s="77" t="s">
        <v>4</v>
      </c>
      <c r="S16" s="12">
        <f>((P16*Q16)-(P16*(1-(Q16/0.9)))*0.07)</f>
        <v>0.82129074074074071</v>
      </c>
      <c r="T16" s="8">
        <f>-S16</f>
        <v>-0.82129074074074071</v>
      </c>
      <c r="U16" s="8">
        <f>T16+T11</f>
        <v>0.32672009772062005</v>
      </c>
    </row>
    <row r="17" spans="1:25" s="407" customFormat="1" x14ac:dyDescent="0.25">
      <c r="A17" s="396" t="s">
        <v>12</v>
      </c>
      <c r="B17" s="397">
        <v>41872</v>
      </c>
      <c r="C17" s="398">
        <f>6-0.63</f>
        <v>5.37</v>
      </c>
      <c r="D17" s="399">
        <v>0</v>
      </c>
      <c r="E17" s="400">
        <v>0</v>
      </c>
      <c r="F17" s="401" t="s">
        <v>13</v>
      </c>
      <c r="G17" s="402">
        <v>2</v>
      </c>
      <c r="H17" s="403" t="s">
        <v>3</v>
      </c>
      <c r="I17" s="403" t="s">
        <v>3</v>
      </c>
      <c r="J17" s="403">
        <v>-0.79999999999999982</v>
      </c>
      <c r="K17" s="404">
        <v>1</v>
      </c>
      <c r="L17" s="402">
        <f t="shared" si="0"/>
        <v>5.37</v>
      </c>
      <c r="M17" s="402">
        <f>M29</f>
        <v>0</v>
      </c>
      <c r="N17" s="405">
        <f t="shared" si="1"/>
        <v>0</v>
      </c>
      <c r="O17" s="403">
        <f>N17-N12</f>
        <v>0</v>
      </c>
      <c r="P17" s="406">
        <f>G17</f>
        <v>2</v>
      </c>
      <c r="Q17" s="403">
        <f>Q19</f>
        <v>0.4366666666666667</v>
      </c>
      <c r="R17" s="404" t="s">
        <v>4</v>
      </c>
      <c r="S17" s="405">
        <f>((P17*Q17)-(P17*(1-(Q17/0.9)))*0.07)</f>
        <v>0.80125925925925934</v>
      </c>
      <c r="T17" s="406">
        <f>-S17</f>
        <v>-0.80125925925925934</v>
      </c>
      <c r="U17" s="406">
        <f>T17+T12</f>
        <v>0.28962074074074051</v>
      </c>
    </row>
    <row r="18" spans="1:25" x14ac:dyDescent="0.25">
      <c r="A18" s="14" t="s">
        <v>1</v>
      </c>
      <c r="B18" s="78">
        <v>41872</v>
      </c>
      <c r="C18" s="16">
        <f>(30/3.2808)-1.76</f>
        <v>7.3841111923920995</v>
      </c>
      <c r="D18" s="79">
        <v>0</v>
      </c>
      <c r="E18" s="80">
        <v>0</v>
      </c>
      <c r="F18" s="17" t="s">
        <v>13</v>
      </c>
      <c r="G18" s="19">
        <v>2.2400000000000002</v>
      </c>
      <c r="H18" s="20" t="s">
        <v>3</v>
      </c>
      <c r="I18" s="20" t="s">
        <v>3</v>
      </c>
      <c r="J18" s="20">
        <v>-0.62000000000000011</v>
      </c>
      <c r="K18" s="81">
        <v>1</v>
      </c>
      <c r="L18" s="19">
        <f t="shared" si="0"/>
        <v>7.3841111923920995</v>
      </c>
      <c r="M18" s="19">
        <f>M29</f>
        <v>0</v>
      </c>
      <c r="N18" s="13">
        <f t="shared" si="1"/>
        <v>0</v>
      </c>
      <c r="O18" s="20">
        <f>N18-N13</f>
        <v>0</v>
      </c>
      <c r="P18" s="22">
        <f>G18</f>
        <v>2.2400000000000002</v>
      </c>
      <c r="Q18" s="20">
        <f>Q19</f>
        <v>0.4366666666666667</v>
      </c>
      <c r="R18" s="81" t="s">
        <v>4</v>
      </c>
      <c r="S18" s="13">
        <f>((P18*Q18)-(P18*(1-(Q18/0.9)))*0.07)</f>
        <v>0.89741037037037052</v>
      </c>
      <c r="T18" s="22">
        <f>-S18</f>
        <v>-0.89741037037037052</v>
      </c>
      <c r="U18" s="22">
        <f>T18+T13</f>
        <v>0.4146020164426133</v>
      </c>
    </row>
    <row r="19" spans="1:25" x14ac:dyDescent="0.25">
      <c r="A19" s="14" t="s">
        <v>5</v>
      </c>
      <c r="B19" s="78">
        <v>41872</v>
      </c>
      <c r="C19" s="16">
        <f>(30/3.2808)-2.1</f>
        <v>7.0441111923920996</v>
      </c>
      <c r="D19" s="79">
        <v>0</v>
      </c>
      <c r="E19" s="80">
        <v>0</v>
      </c>
      <c r="F19" s="17" t="s">
        <v>13</v>
      </c>
      <c r="G19" s="19">
        <v>2.09</v>
      </c>
      <c r="H19" s="13">
        <f>AVERAGE(2.18,2.05,2.22,2.07,2,2.19,2.05,2.2,2.03)</f>
        <v>2.1100000000000003</v>
      </c>
      <c r="I19" s="13">
        <f>AVERAGE(2.09,2.18,2.05,2.22,2.07,2,2.19,2.05,2.2,2.03)</f>
        <v>2.1079999999999997</v>
      </c>
      <c r="J19" s="20">
        <v>-0.55999999999999961</v>
      </c>
      <c r="K19" s="81">
        <v>10</v>
      </c>
      <c r="L19" s="19">
        <f t="shared" si="0"/>
        <v>7.0441111923920996</v>
      </c>
      <c r="M19" s="19">
        <f>M29</f>
        <v>0</v>
      </c>
      <c r="N19" s="13">
        <f t="shared" si="1"/>
        <v>0</v>
      </c>
      <c r="O19" s="20">
        <f>N19-N14</f>
        <v>0</v>
      </c>
      <c r="P19" s="22">
        <f>I19</f>
        <v>2.1079999999999997</v>
      </c>
      <c r="Q19" s="20">
        <v>0.4366666666666667</v>
      </c>
      <c r="R19" s="21" t="s">
        <v>11</v>
      </c>
      <c r="S19" s="13">
        <f>((P19*Q19)-(P19*(1-(Q19/0.9)))*0.07)</f>
        <v>0.8445272592592592</v>
      </c>
      <c r="T19" s="22">
        <f>-S19</f>
        <v>-0.8445272592592592</v>
      </c>
      <c r="U19" s="22">
        <f>T19+T14</f>
        <v>0.54105675567441303</v>
      </c>
    </row>
    <row r="20" spans="1:25" ht="15.75" thickBot="1" x14ac:dyDescent="0.3">
      <c r="A20" s="82" t="s">
        <v>6</v>
      </c>
      <c r="B20" s="83">
        <v>41872</v>
      </c>
      <c r="C20" s="25">
        <f>(30/3.2808)-2.07</f>
        <v>7.074111192392099</v>
      </c>
      <c r="D20" s="26">
        <v>0</v>
      </c>
      <c r="E20" s="27">
        <v>0</v>
      </c>
      <c r="F20" s="28" t="s">
        <v>13</v>
      </c>
      <c r="G20" s="84">
        <v>2.48</v>
      </c>
      <c r="H20" s="31" t="s">
        <v>3</v>
      </c>
      <c r="I20" s="31" t="s">
        <v>3</v>
      </c>
      <c r="J20" s="31">
        <v>-0.79000000000000092</v>
      </c>
      <c r="K20" s="32">
        <v>1</v>
      </c>
      <c r="L20" s="84">
        <f t="shared" si="0"/>
        <v>7.074111192392099</v>
      </c>
      <c r="M20" s="84">
        <f>M29</f>
        <v>0</v>
      </c>
      <c r="N20" s="30">
        <f t="shared" si="1"/>
        <v>0</v>
      </c>
      <c r="O20" s="31">
        <f>N20-N15</f>
        <v>0</v>
      </c>
      <c r="P20" s="29">
        <f>G20</f>
        <v>2.48</v>
      </c>
      <c r="Q20" s="31">
        <f>Q19</f>
        <v>0.4366666666666667</v>
      </c>
      <c r="R20" s="32" t="s">
        <v>4</v>
      </c>
      <c r="S20" s="30">
        <f>((P20*Q20)-(P20*(1-(Q20/0.9)))*0.07)</f>
        <v>0.99356148148148171</v>
      </c>
      <c r="T20" s="29">
        <f>-S20</f>
        <v>-0.99356148148148171</v>
      </c>
      <c r="U20" s="29">
        <f>T20+T15</f>
        <v>0.24875024728206219</v>
      </c>
    </row>
    <row r="22" spans="1:25" ht="16.5" thickBot="1" x14ac:dyDescent="0.3">
      <c r="A22" s="130" t="s">
        <v>58</v>
      </c>
      <c r="B22" s="131"/>
      <c r="C22" s="132"/>
      <c r="D22" s="133"/>
      <c r="E22" s="133"/>
      <c r="F22" s="134"/>
      <c r="G22" s="134"/>
      <c r="H22" s="134"/>
      <c r="I22" s="134"/>
      <c r="J22" s="135"/>
      <c r="K22" s="136"/>
      <c r="L22" s="137"/>
      <c r="M22" s="138"/>
      <c r="N22" s="137"/>
      <c r="O22" s="137"/>
      <c r="P22" s="135"/>
      <c r="Q22" s="135"/>
      <c r="R22" s="134"/>
      <c r="S22" s="135"/>
      <c r="T22" s="139"/>
      <c r="U22" s="140"/>
      <c r="V22" s="141"/>
      <c r="W22" s="141"/>
      <c r="X22" s="142"/>
      <c r="Y22" s="141"/>
    </row>
    <row r="23" spans="1:25" x14ac:dyDescent="0.25">
      <c r="A23" s="143"/>
      <c r="B23" s="144"/>
      <c r="C23" s="517" t="s">
        <v>14</v>
      </c>
      <c r="D23" s="518"/>
      <c r="E23" s="519"/>
      <c r="F23" s="144"/>
      <c r="G23" s="520" t="s">
        <v>15</v>
      </c>
      <c r="H23" s="521"/>
      <c r="I23" s="521"/>
      <c r="J23" s="521"/>
      <c r="K23" s="522"/>
      <c r="L23" s="145"/>
      <c r="M23" s="146"/>
      <c r="N23" s="147" t="s">
        <v>59</v>
      </c>
      <c r="O23" s="148"/>
      <c r="P23" s="149"/>
      <c r="Q23" s="147" t="s">
        <v>60</v>
      </c>
      <c r="R23" s="147"/>
      <c r="S23" s="148"/>
      <c r="T23" s="150" t="s">
        <v>61</v>
      </c>
      <c r="U23" s="147"/>
      <c r="V23" s="151"/>
      <c r="W23" s="151"/>
      <c r="X23" s="151"/>
      <c r="Y23" s="152"/>
    </row>
    <row r="24" spans="1:25" ht="33.75" x14ac:dyDescent="0.25">
      <c r="A24" s="143" t="s">
        <v>21</v>
      </c>
      <c r="B24" s="143" t="s">
        <v>22</v>
      </c>
      <c r="C24" s="153" t="s">
        <v>62</v>
      </c>
      <c r="D24" s="154" t="s">
        <v>63</v>
      </c>
      <c r="E24" s="155" t="s">
        <v>64</v>
      </c>
      <c r="F24" s="143" t="s">
        <v>25</v>
      </c>
      <c r="G24" s="156" t="s">
        <v>65</v>
      </c>
      <c r="H24" s="157"/>
      <c r="I24" s="157" t="s">
        <v>28</v>
      </c>
      <c r="J24" s="157"/>
      <c r="K24" s="158"/>
      <c r="L24" s="159" t="s">
        <v>66</v>
      </c>
      <c r="M24" s="146" t="s">
        <v>31</v>
      </c>
      <c r="N24" s="160" t="s">
        <v>67</v>
      </c>
      <c r="O24" s="161"/>
      <c r="P24" s="146" t="s">
        <v>33</v>
      </c>
      <c r="Q24" s="162" t="s">
        <v>34</v>
      </c>
      <c r="R24" s="160" t="s">
        <v>68</v>
      </c>
      <c r="S24" s="488" t="s">
        <v>106</v>
      </c>
      <c r="T24" s="163" t="s">
        <v>69</v>
      </c>
      <c r="U24" s="164" t="s">
        <v>70</v>
      </c>
      <c r="V24" s="164" t="s">
        <v>71</v>
      </c>
      <c r="W24" s="165" t="s">
        <v>72</v>
      </c>
      <c r="X24" s="165" t="s">
        <v>73</v>
      </c>
      <c r="Y24" s="166" t="s">
        <v>74</v>
      </c>
    </row>
    <row r="25" spans="1:25" x14ac:dyDescent="0.25">
      <c r="A25" s="143" t="s">
        <v>38</v>
      </c>
      <c r="B25" s="143"/>
      <c r="C25" s="153"/>
      <c r="D25" s="154"/>
      <c r="E25" s="155"/>
      <c r="F25" s="144"/>
      <c r="G25" s="156"/>
      <c r="H25" s="157"/>
      <c r="I25" s="157"/>
      <c r="J25" s="157"/>
      <c r="K25" s="158"/>
      <c r="L25" s="143"/>
      <c r="M25" s="146"/>
      <c r="N25" s="167" t="s">
        <v>75</v>
      </c>
      <c r="O25" s="161"/>
      <c r="P25" s="146" t="s">
        <v>42</v>
      </c>
      <c r="Q25" s="168" t="s">
        <v>44</v>
      </c>
      <c r="R25" s="167"/>
      <c r="S25" s="161"/>
      <c r="T25" s="150"/>
      <c r="U25" s="147"/>
      <c r="V25" s="147"/>
      <c r="W25" s="169"/>
      <c r="X25" s="169"/>
      <c r="Y25" s="148"/>
    </row>
    <row r="26" spans="1:25" ht="15.75" thickBot="1" x14ac:dyDescent="0.3">
      <c r="A26" s="170"/>
      <c r="B26" s="170" t="s">
        <v>51</v>
      </c>
      <c r="C26" s="171" t="s">
        <v>52</v>
      </c>
      <c r="D26" s="172" t="s">
        <v>52</v>
      </c>
      <c r="E26" s="173" t="s">
        <v>52</v>
      </c>
      <c r="F26" s="174"/>
      <c r="G26" s="175" t="s">
        <v>52</v>
      </c>
      <c r="H26" s="176"/>
      <c r="I26" s="176" t="s">
        <v>53</v>
      </c>
      <c r="J26" s="176"/>
      <c r="K26" s="177"/>
      <c r="L26" s="170" t="s">
        <v>52</v>
      </c>
      <c r="M26" s="178" t="s">
        <v>76</v>
      </c>
      <c r="N26" s="179" t="s">
        <v>52</v>
      </c>
      <c r="O26" s="180"/>
      <c r="P26" s="178" t="s">
        <v>52</v>
      </c>
      <c r="Q26" s="181" t="s">
        <v>55</v>
      </c>
      <c r="R26" s="179"/>
      <c r="S26" s="180" t="s">
        <v>111</v>
      </c>
      <c r="T26" s="182" t="s">
        <v>77</v>
      </c>
      <c r="U26" s="183" t="s">
        <v>77</v>
      </c>
      <c r="V26" s="183" t="s">
        <v>77</v>
      </c>
      <c r="W26" s="183" t="s">
        <v>77</v>
      </c>
      <c r="X26" s="183" t="s">
        <v>77</v>
      </c>
      <c r="Y26" s="184"/>
    </row>
    <row r="27" spans="1:25" s="280" customFormat="1" ht="11.25" x14ac:dyDescent="0.2">
      <c r="A27" s="185" t="s">
        <v>78</v>
      </c>
      <c r="B27" s="186">
        <v>41487</v>
      </c>
      <c r="C27" s="187">
        <v>9</v>
      </c>
      <c r="D27" s="187">
        <v>2.83</v>
      </c>
      <c r="E27" s="187">
        <f>C27-D27</f>
        <v>6.17</v>
      </c>
      <c r="F27" s="187" t="s">
        <v>79</v>
      </c>
      <c r="G27" s="187">
        <v>1.4</v>
      </c>
      <c r="H27" s="187"/>
      <c r="I27" s="187"/>
      <c r="J27" s="187"/>
      <c r="K27" s="187"/>
      <c r="L27" s="187"/>
      <c r="M27" s="187"/>
      <c r="N27" s="187"/>
      <c r="O27" s="187"/>
      <c r="P27" s="187">
        <f>G27</f>
        <v>1.4</v>
      </c>
      <c r="Q27" s="187">
        <v>0.44</v>
      </c>
      <c r="R27" s="187" t="s">
        <v>4</v>
      </c>
      <c r="S27" s="187"/>
      <c r="T27" s="187"/>
      <c r="U27" s="187"/>
      <c r="V27" s="350"/>
      <c r="W27" s="187"/>
      <c r="X27" s="187"/>
    </row>
    <row r="28" spans="1:25" s="351" customFormat="1" ht="11.25" x14ac:dyDescent="0.2">
      <c r="A28" s="351" t="s">
        <v>78</v>
      </c>
      <c r="B28" s="352">
        <v>41797</v>
      </c>
      <c r="C28" s="351">
        <v>9</v>
      </c>
      <c r="D28" s="351">
        <v>0.52</v>
      </c>
      <c r="E28" s="351">
        <f>C28-D28</f>
        <v>8.48</v>
      </c>
      <c r="F28" s="351" t="s">
        <v>8</v>
      </c>
      <c r="G28" s="353" t="s">
        <v>80</v>
      </c>
      <c r="L28" s="351">
        <f>E28-P28</f>
        <v>5.6800000000000006</v>
      </c>
      <c r="P28" s="351">
        <v>2.8</v>
      </c>
      <c r="Y28" s="353" t="s">
        <v>182</v>
      </c>
    </row>
    <row r="29" spans="1:25" s="188" customFormat="1" ht="11.25" x14ac:dyDescent="0.2"/>
    <row r="30" spans="1:25" s="409" customFormat="1" ht="11.25" x14ac:dyDescent="0.2">
      <c r="A30" s="412" t="s">
        <v>157</v>
      </c>
      <c r="B30" s="410">
        <v>41797</v>
      </c>
      <c r="P30" s="411">
        <f>'FedSampCores10-K17_2014.06.07'!I3</f>
        <v>2.9219999999999997</v>
      </c>
      <c r="Q30" s="411">
        <f>'FedSampCores10-K17_2014.06.07'!I4</f>
        <v>0.37414136462792286</v>
      </c>
      <c r="R30" s="409" t="s">
        <v>11</v>
      </c>
      <c r="S30" s="411">
        <f>'FedSampCores10-K17_2014.06.07'!O12</f>
        <v>1.1387405886379194</v>
      </c>
      <c r="U30" s="411">
        <f>P30*Q30</f>
        <v>1.0932410674427904</v>
      </c>
      <c r="Y30" s="409" t="s">
        <v>161</v>
      </c>
    </row>
    <row r="31" spans="1:25" s="427" customFormat="1" ht="11.25" x14ac:dyDescent="0.2">
      <c r="A31" s="428" t="s">
        <v>157</v>
      </c>
      <c r="B31" s="429">
        <v>41872</v>
      </c>
      <c r="C31" s="428">
        <v>6</v>
      </c>
      <c r="D31" s="428">
        <v>0.63</v>
      </c>
      <c r="E31" s="428">
        <f>C31-D31</f>
        <v>5.37</v>
      </c>
      <c r="F31" s="428" t="s">
        <v>79</v>
      </c>
      <c r="G31" s="430">
        <f>'FedSampCores10-K17_2014.08.21'!I3</f>
        <v>2</v>
      </c>
      <c r="L31" s="431">
        <f>E31-G31</f>
        <v>3.37</v>
      </c>
    </row>
    <row r="32" spans="1:25" s="209" customFormat="1" ht="11.25" x14ac:dyDescent="0.2"/>
    <row r="33" spans="1:9" s="209" customFormat="1" ht="12" thickBot="1" x14ac:dyDescent="0.25"/>
    <row r="34" spans="1:9" x14ac:dyDescent="0.25">
      <c r="A34" s="511" t="s">
        <v>138</v>
      </c>
      <c r="B34" s="512"/>
      <c r="C34" s="515" t="s">
        <v>139</v>
      </c>
      <c r="D34" s="516"/>
      <c r="E34" s="328" t="s">
        <v>140</v>
      </c>
      <c r="F34" s="329"/>
      <c r="G34" s="328" t="s">
        <v>141</v>
      </c>
      <c r="H34" s="329"/>
      <c r="I34" s="330" t="s">
        <v>142</v>
      </c>
    </row>
    <row r="35" spans="1:9" x14ac:dyDescent="0.25">
      <c r="A35" s="513"/>
      <c r="B35" s="514"/>
      <c r="C35" s="481" t="s">
        <v>143</v>
      </c>
      <c r="D35" s="481" t="s">
        <v>144</v>
      </c>
      <c r="E35" s="482">
        <f>B27</f>
        <v>41487</v>
      </c>
      <c r="F35" s="483" t="s">
        <v>145</v>
      </c>
      <c r="G35" s="484">
        <f>B30</f>
        <v>41797</v>
      </c>
      <c r="H35" s="483" t="s">
        <v>145</v>
      </c>
      <c r="I35" s="485">
        <f>B31</f>
        <v>41872</v>
      </c>
    </row>
    <row r="36" spans="1:9" x14ac:dyDescent="0.25">
      <c r="A36" s="336"/>
      <c r="B36" s="346" t="s">
        <v>146</v>
      </c>
      <c r="C36" s="337">
        <f>U30</f>
        <v>1.0932410674427904</v>
      </c>
      <c r="D36" s="337" t="s">
        <v>114</v>
      </c>
      <c r="E36" s="338"/>
      <c r="F36" s="338"/>
      <c r="G36" s="339"/>
      <c r="H36" s="337"/>
      <c r="I36" s="340"/>
    </row>
    <row r="37" spans="1:9" x14ac:dyDescent="0.25">
      <c r="A37" s="336"/>
      <c r="B37" s="346" t="s">
        <v>147</v>
      </c>
      <c r="C37" s="337" t="s">
        <v>114</v>
      </c>
      <c r="D37" s="337"/>
      <c r="E37" s="338"/>
      <c r="F37" s="338"/>
      <c r="G37" s="339"/>
      <c r="H37" s="337"/>
      <c r="I37" s="340"/>
    </row>
    <row r="38" spans="1:9" x14ac:dyDescent="0.25">
      <c r="A38" s="336"/>
      <c r="B38" s="346" t="s">
        <v>148</v>
      </c>
      <c r="C38" s="337" t="s">
        <v>114</v>
      </c>
      <c r="D38" s="337"/>
      <c r="E38" s="338"/>
      <c r="F38" s="338"/>
      <c r="G38" s="339"/>
      <c r="H38" s="337"/>
      <c r="I38" s="340"/>
    </row>
    <row r="39" spans="1:9" x14ac:dyDescent="0.25">
      <c r="A39" s="336"/>
      <c r="B39" s="347" t="s">
        <v>149</v>
      </c>
      <c r="C39" s="337" t="s">
        <v>114</v>
      </c>
      <c r="D39" s="337"/>
      <c r="E39" s="338"/>
      <c r="F39" s="338"/>
      <c r="G39" s="337"/>
      <c r="H39" s="337"/>
      <c r="I39" s="340"/>
    </row>
    <row r="40" spans="1:9" x14ac:dyDescent="0.25">
      <c r="A40" s="336"/>
      <c r="B40" s="348" t="s">
        <v>150</v>
      </c>
      <c r="C40" s="337" t="s">
        <v>114</v>
      </c>
      <c r="D40" s="337"/>
      <c r="E40" s="338"/>
      <c r="F40" s="338"/>
      <c r="G40" s="337"/>
      <c r="H40" s="337"/>
      <c r="I40" s="340"/>
    </row>
    <row r="41" spans="1:9" ht="15.75" thickBot="1" x14ac:dyDescent="0.3">
      <c r="A41" s="341"/>
      <c r="B41" s="349" t="s">
        <v>151</v>
      </c>
      <c r="C41" s="342" t="s">
        <v>114</v>
      </c>
      <c r="D41" s="342"/>
      <c r="E41" s="343"/>
      <c r="F41" s="343"/>
      <c r="G41" s="344"/>
      <c r="H41" s="344"/>
      <c r="I41" s="345"/>
    </row>
  </sheetData>
  <mergeCells count="8">
    <mergeCell ref="M2:O2"/>
    <mergeCell ref="P2:S2"/>
    <mergeCell ref="D3:E3"/>
    <mergeCell ref="A34:B35"/>
    <mergeCell ref="C34:D34"/>
    <mergeCell ref="C23:E23"/>
    <mergeCell ref="G23:K23"/>
    <mergeCell ref="C2:E2"/>
  </mergeCells>
  <pageMargins left="0.7" right="0.7" top="0.75" bottom="0.75" header="0.3" footer="0.3"/>
  <pageSetup orientation="portrait" verticalDpi="0"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9AD7E-0037-44AA-9B15-FC016BF2D520}">
  <dimension ref="A1:Z153"/>
  <sheetViews>
    <sheetView workbookViewId="0">
      <selection activeCell="H1" sqref="H1:I4"/>
    </sheetView>
  </sheetViews>
  <sheetFormatPr defaultColWidth="7.85546875" defaultRowHeight="11.25" x14ac:dyDescent="0.2"/>
  <cols>
    <col min="1" max="1" width="22.7109375" style="188" customWidth="1"/>
    <col min="2" max="2" width="22" style="188" customWidth="1"/>
    <col min="3" max="3" width="15.42578125" style="290" customWidth="1"/>
    <col min="4" max="4" width="14.28515625" style="290" customWidth="1"/>
    <col min="5" max="5" width="11.85546875" style="290" customWidth="1"/>
    <col min="6" max="6" width="18.28515625" style="290" customWidth="1"/>
    <col min="7" max="7" width="13.7109375" style="241" customWidth="1"/>
    <col min="8" max="8" width="18.7109375" style="278" customWidth="1"/>
    <col min="9" max="9" width="10.7109375" style="241" customWidth="1"/>
    <col min="10" max="10" width="8.5703125" style="241" customWidth="1"/>
    <col min="11" max="11" width="13.5703125" style="248" customWidth="1"/>
    <col min="12" max="12" width="7" style="280" customWidth="1"/>
    <col min="13" max="13" width="10.28515625" style="188" customWidth="1"/>
    <col min="14" max="14" width="5.7109375" style="188" bestFit="1" customWidth="1"/>
    <col min="15" max="15" width="16.5703125" style="243" customWidth="1"/>
    <col min="16" max="16" width="5.85546875" style="289" bestFit="1" customWidth="1"/>
    <col min="17" max="17" width="14" style="244" bestFit="1" customWidth="1"/>
    <col min="18" max="18" width="6" style="244" bestFit="1" customWidth="1"/>
    <col min="19" max="19" width="8.7109375" style="244" bestFit="1" customWidth="1"/>
    <col min="20" max="21" width="17.28515625" style="188" bestFit="1" customWidth="1"/>
    <col min="22" max="22" width="9.28515625" style="188" bestFit="1" customWidth="1"/>
    <col min="23" max="27" width="5.28515625" style="188" customWidth="1"/>
    <col min="28" max="28" width="17" style="188" customWidth="1"/>
    <col min="29" max="16384" width="7.85546875" style="188"/>
  </cols>
  <sheetData>
    <row r="1" spans="1:24" s="218" customFormat="1" ht="12.75" x14ac:dyDescent="0.2">
      <c r="A1" s="210" t="s">
        <v>81</v>
      </c>
      <c r="B1" s="211" t="s">
        <v>82</v>
      </c>
      <c r="C1" s="212"/>
      <c r="D1" s="211"/>
      <c r="E1" s="213"/>
      <c r="F1" s="213"/>
      <c r="G1" s="214"/>
      <c r="H1" s="215" t="s">
        <v>83</v>
      </c>
      <c r="I1" s="216">
        <f>MAX(A12:A14)*2.54/100</f>
        <v>0</v>
      </c>
      <c r="J1" s="217" t="s">
        <v>84</v>
      </c>
      <c r="K1" s="211"/>
      <c r="L1" s="211"/>
      <c r="N1" s="219"/>
      <c r="P1" s="220"/>
      <c r="Q1" s="220"/>
      <c r="R1" s="220"/>
      <c r="S1" s="220"/>
    </row>
    <row r="2" spans="1:24" s="218" customFormat="1" ht="12.75" x14ac:dyDescent="0.2">
      <c r="A2" s="221" t="s">
        <v>85</v>
      </c>
      <c r="B2" s="211" t="s">
        <v>169</v>
      </c>
      <c r="C2" s="222"/>
      <c r="D2" s="211"/>
      <c r="E2" s="223"/>
      <c r="F2" s="223"/>
      <c r="G2" s="224"/>
      <c r="H2" s="225" t="s">
        <v>86</v>
      </c>
      <c r="I2" s="226">
        <f>I12/100</f>
        <v>3.03</v>
      </c>
      <c r="J2" s="227" t="s">
        <v>87</v>
      </c>
      <c r="K2" s="211"/>
      <c r="L2" s="211"/>
      <c r="N2" s="228"/>
      <c r="P2" s="220"/>
      <c r="Q2" s="220"/>
      <c r="R2" s="220"/>
      <c r="S2" s="220"/>
    </row>
    <row r="3" spans="1:24" s="231" customFormat="1" ht="11.25" customHeight="1" x14ac:dyDescent="0.2">
      <c r="A3" s="229" t="s">
        <v>88</v>
      </c>
      <c r="B3" s="230">
        <v>41797</v>
      </c>
      <c r="C3" s="222"/>
      <c r="D3" s="223"/>
      <c r="E3" s="223"/>
      <c r="F3" s="223"/>
      <c r="G3" s="224"/>
      <c r="H3" s="229" t="s">
        <v>89</v>
      </c>
      <c r="I3" s="226">
        <f>AVERAGE(I12:I21)/100</f>
        <v>3.03</v>
      </c>
      <c r="J3" s="227"/>
      <c r="K3" s="211"/>
      <c r="L3" s="211"/>
      <c r="N3" s="232"/>
      <c r="P3" s="233"/>
      <c r="Q3" s="233"/>
      <c r="R3" s="233"/>
      <c r="S3" s="233"/>
    </row>
    <row r="4" spans="1:24" s="218" customFormat="1" ht="12.75" x14ac:dyDescent="0.2">
      <c r="A4" s="229" t="s">
        <v>90</v>
      </c>
      <c r="B4" s="234" t="s">
        <v>171</v>
      </c>
      <c r="C4" s="222"/>
      <c r="D4" s="223"/>
      <c r="E4" s="223"/>
      <c r="F4" s="223"/>
      <c r="G4" s="224"/>
      <c r="H4" s="229" t="s">
        <v>91</v>
      </c>
      <c r="I4" s="226" t="s">
        <v>114</v>
      </c>
      <c r="J4" s="227"/>
      <c r="K4" s="211"/>
      <c r="L4" s="211"/>
      <c r="M4" s="219"/>
      <c r="N4" s="219"/>
      <c r="P4" s="220"/>
      <c r="Q4" s="220"/>
      <c r="R4" s="220"/>
      <c r="S4" s="220"/>
    </row>
    <row r="5" spans="1:24" s="239" customFormat="1" ht="12.75" x14ac:dyDescent="0.2">
      <c r="A5" s="221" t="s">
        <v>92</v>
      </c>
      <c r="B5" s="235" t="s">
        <v>93</v>
      </c>
      <c r="C5" s="222"/>
      <c r="D5" s="223"/>
      <c r="E5" s="223"/>
      <c r="F5" s="236"/>
      <c r="G5" s="236"/>
      <c r="H5" s="229"/>
      <c r="I5" s="237"/>
      <c r="J5" s="227"/>
      <c r="K5" s="211"/>
      <c r="L5" s="211"/>
      <c r="M5" s="238"/>
      <c r="N5" s="238"/>
      <c r="P5" s="240"/>
      <c r="Q5" s="240"/>
      <c r="R5" s="240"/>
      <c r="S5" s="240"/>
    </row>
    <row r="6" spans="1:24" x14ac:dyDescent="0.2">
      <c r="A6" s="241"/>
      <c r="B6" s="241"/>
      <c r="C6" s="241"/>
      <c r="D6" s="241"/>
      <c r="E6" s="242"/>
      <c r="F6" s="238"/>
      <c r="G6" s="238"/>
      <c r="H6" s="243"/>
      <c r="I6" s="243"/>
      <c r="J6" s="188"/>
      <c r="K6" s="188"/>
      <c r="L6" s="243"/>
      <c r="M6" s="243"/>
      <c r="O6" s="188"/>
      <c r="P6" s="244"/>
    </row>
    <row r="7" spans="1:24" x14ac:dyDescent="0.2">
      <c r="A7" s="241"/>
      <c r="B7" s="241"/>
      <c r="C7" s="241"/>
      <c r="D7" s="241"/>
      <c r="E7" s="242"/>
      <c r="F7" s="245"/>
      <c r="G7" s="246"/>
      <c r="H7" s="243"/>
      <c r="I7" s="243"/>
      <c r="J7" s="188"/>
      <c r="K7" s="188"/>
      <c r="L7" s="243"/>
      <c r="M7" s="243"/>
      <c r="O7" s="188"/>
      <c r="P7" s="244"/>
    </row>
    <row r="8" spans="1:24" ht="12" thickBot="1" x14ac:dyDescent="0.25">
      <c r="A8" s="241"/>
      <c r="B8" s="241"/>
      <c r="C8" s="247"/>
      <c r="D8" s="247"/>
      <c r="E8" s="248"/>
      <c r="F8" s="188"/>
      <c r="G8" s="188"/>
      <c r="H8" s="218" t="s">
        <v>94</v>
      </c>
      <c r="I8" s="243"/>
      <c r="J8" s="188"/>
      <c r="K8" s="218" t="s">
        <v>95</v>
      </c>
      <c r="L8" s="243"/>
      <c r="M8" s="243"/>
      <c r="O8" s="219" t="s">
        <v>96</v>
      </c>
      <c r="P8" s="244"/>
    </row>
    <row r="9" spans="1:24" x14ac:dyDescent="0.2">
      <c r="A9" s="249"/>
      <c r="B9" s="250"/>
      <c r="C9" s="243"/>
      <c r="D9" s="243"/>
      <c r="E9" s="250"/>
      <c r="F9" s="250"/>
      <c r="G9" s="251"/>
      <c r="H9" s="249"/>
      <c r="I9" s="252"/>
      <c r="J9" s="251"/>
      <c r="K9" s="253"/>
      <c r="L9" s="254"/>
      <c r="M9" s="255"/>
      <c r="P9" s="244"/>
      <c r="W9" s="243"/>
      <c r="X9" s="243"/>
    </row>
    <row r="10" spans="1:24" x14ac:dyDescent="0.2">
      <c r="A10" s="256" t="s">
        <v>97</v>
      </c>
      <c r="B10" s="245" t="s">
        <v>98</v>
      </c>
      <c r="C10" s="257" t="s">
        <v>99</v>
      </c>
      <c r="D10" s="258" t="s">
        <v>100</v>
      </c>
      <c r="E10" s="245" t="s">
        <v>31</v>
      </c>
      <c r="F10" s="259" t="s">
        <v>74</v>
      </c>
      <c r="G10" s="251"/>
      <c r="H10" s="245" t="s">
        <v>101</v>
      </c>
      <c r="I10" s="260" t="s">
        <v>102</v>
      </c>
      <c r="J10" s="188"/>
      <c r="K10" s="261" t="s">
        <v>103</v>
      </c>
      <c r="L10" s="228" t="s">
        <v>104</v>
      </c>
      <c r="M10" s="262" t="s">
        <v>105</v>
      </c>
      <c r="O10" s="218" t="s">
        <v>106</v>
      </c>
      <c r="P10" s="244"/>
      <c r="W10" s="263"/>
    </row>
    <row r="11" spans="1:24" ht="12" thickBot="1" x14ac:dyDescent="0.25">
      <c r="A11" s="264" t="s">
        <v>107</v>
      </c>
      <c r="B11" s="265" t="s">
        <v>107</v>
      </c>
      <c r="C11" s="266" t="s">
        <v>108</v>
      </c>
      <c r="D11" s="267" t="s">
        <v>108</v>
      </c>
      <c r="E11" s="268" t="s">
        <v>76</v>
      </c>
      <c r="F11" s="269"/>
      <c r="G11" s="251"/>
      <c r="H11" s="270"/>
      <c r="I11" s="271" t="s">
        <v>109</v>
      </c>
      <c r="J11" s="188"/>
      <c r="K11" s="272"/>
      <c r="L11" s="273"/>
      <c r="M11" s="274" t="s">
        <v>110</v>
      </c>
      <c r="O11" s="188" t="s">
        <v>111</v>
      </c>
      <c r="P11" s="244"/>
      <c r="W11" s="243"/>
    </row>
    <row r="12" spans="1:24" x14ac:dyDescent="0.2">
      <c r="A12" s="292"/>
      <c r="B12" s="292"/>
      <c r="C12" s="250"/>
      <c r="D12" s="275"/>
      <c r="E12" s="276"/>
      <c r="F12" s="188"/>
      <c r="G12" s="188"/>
      <c r="H12" s="188" t="s">
        <v>159</v>
      </c>
      <c r="I12" s="287">
        <v>303</v>
      </c>
      <c r="J12" s="188"/>
      <c r="K12" s="188"/>
      <c r="L12" s="188"/>
      <c r="M12" s="277"/>
      <c r="O12" s="244">
        <f>I1/I3</f>
        <v>0</v>
      </c>
      <c r="P12" s="244"/>
    </row>
    <row r="13" spans="1:24" x14ac:dyDescent="0.2">
      <c r="A13" s="292"/>
      <c r="B13" s="292"/>
      <c r="C13" s="188"/>
      <c r="D13" s="278"/>
      <c r="E13" s="279"/>
      <c r="F13" s="188"/>
      <c r="G13" s="188"/>
      <c r="H13" s="188"/>
      <c r="I13" s="287"/>
      <c r="J13" s="188"/>
      <c r="K13" s="188"/>
      <c r="L13" s="188"/>
      <c r="O13" s="188"/>
      <c r="P13" s="244"/>
    </row>
    <row r="14" spans="1:24" x14ac:dyDescent="0.2">
      <c r="A14" s="292"/>
      <c r="B14" s="292"/>
      <c r="C14" s="188"/>
      <c r="D14" s="278"/>
      <c r="E14" s="279"/>
      <c r="F14" s="408"/>
      <c r="G14" s="188"/>
      <c r="H14" s="188"/>
      <c r="I14" s="287"/>
      <c r="J14" s="188"/>
      <c r="K14" s="188"/>
      <c r="L14" s="188"/>
      <c r="O14" s="188"/>
      <c r="P14" s="244"/>
    </row>
    <row r="15" spans="1:24" x14ac:dyDescent="0.2">
      <c r="A15" s="291"/>
      <c r="B15" s="291"/>
      <c r="C15" s="241"/>
      <c r="D15" s="241"/>
      <c r="E15" s="248"/>
      <c r="F15" s="280"/>
      <c r="G15" s="188"/>
      <c r="H15" s="188"/>
      <c r="I15" s="287"/>
      <c r="J15" s="188"/>
      <c r="K15" s="188" t="s">
        <v>87</v>
      </c>
      <c r="L15" s="188"/>
      <c r="O15" s="188"/>
      <c r="P15" s="244"/>
    </row>
    <row r="16" spans="1:24" ht="15" x14ac:dyDescent="0.25">
      <c r="A16"/>
      <c r="B16"/>
      <c r="C16"/>
      <c r="D16"/>
      <c r="E16"/>
      <c r="F16" s="280"/>
      <c r="G16" s="188"/>
      <c r="H16" s="188"/>
      <c r="I16" s="287"/>
      <c r="J16" s="188"/>
      <c r="K16" s="188"/>
      <c r="L16" s="188"/>
      <c r="O16" s="188"/>
      <c r="P16" s="244"/>
    </row>
    <row r="17" spans="1:9" s="239" customFormat="1" ht="15" x14ac:dyDescent="0.25">
      <c r="A17"/>
      <c r="B17"/>
      <c r="C17"/>
      <c r="D17"/>
      <c r="E17"/>
      <c r="H17" s="188"/>
      <c r="I17" s="287"/>
    </row>
    <row r="18" spans="1:9" s="238" customFormat="1" ht="15" x14ac:dyDescent="0.25">
      <c r="A18"/>
      <c r="B18"/>
      <c r="C18"/>
      <c r="D18"/>
      <c r="E18"/>
      <c r="H18" s="188"/>
      <c r="I18" s="287"/>
    </row>
    <row r="19" spans="1:9" s="239" customFormat="1" ht="13.35" customHeight="1" x14ac:dyDescent="0.2">
      <c r="H19" s="188"/>
      <c r="I19" s="287"/>
    </row>
    <row r="20" spans="1:9" s="282" customFormat="1" ht="15" x14ac:dyDescent="0.25">
      <c r="A20"/>
      <c r="B20"/>
      <c r="C20"/>
      <c r="D20"/>
      <c r="E20"/>
      <c r="F20"/>
      <c r="H20" s="188"/>
      <c r="I20" s="287"/>
    </row>
    <row r="21" spans="1:9" s="285" customFormat="1" ht="13.35" customHeight="1" x14ac:dyDescent="0.25">
      <c r="A21" s="284"/>
      <c r="B21" s="284"/>
      <c r="C21" s="284"/>
      <c r="D21" s="284"/>
      <c r="E21" s="284"/>
      <c r="F21"/>
      <c r="H21" s="188"/>
      <c r="I21" s="287"/>
    </row>
    <row r="22" spans="1:9" s="285" customFormat="1" ht="15" x14ac:dyDescent="0.25">
      <c r="A22"/>
      <c r="B22"/>
      <c r="C22"/>
      <c r="D22"/>
      <c r="E22"/>
      <c r="F22"/>
      <c r="I22" s="287"/>
    </row>
    <row r="23" spans="1:9" s="285" customFormat="1" ht="15" x14ac:dyDescent="0.25">
      <c r="A23"/>
      <c r="B23"/>
      <c r="C23"/>
      <c r="D23"/>
      <c r="E23"/>
      <c r="F23"/>
      <c r="I23" s="287"/>
    </row>
    <row r="24" spans="1:9" s="285" customFormat="1" ht="15" x14ac:dyDescent="0.25">
      <c r="A24"/>
      <c r="B24"/>
      <c r="C24"/>
      <c r="D24"/>
      <c r="E24"/>
      <c r="F24"/>
      <c r="I24" s="287"/>
    </row>
    <row r="25" spans="1:9" s="285" customFormat="1" x14ac:dyDescent="0.25">
      <c r="I25" s="287"/>
    </row>
    <row r="26" spans="1:9" s="287" customFormat="1" x14ac:dyDescent="0.25"/>
    <row r="27" spans="1:9" s="287" customFormat="1" x14ac:dyDescent="0.25"/>
    <row r="28" spans="1:9" s="287" customFormat="1" x14ac:dyDescent="0.25"/>
    <row r="29" spans="1:9" s="287" customFormat="1" x14ac:dyDescent="0.25"/>
    <row r="30" spans="1:9" s="287" customFormat="1" x14ac:dyDescent="0.25"/>
    <row r="31" spans="1:9" s="287" customFormat="1" x14ac:dyDescent="0.25"/>
    <row r="32" spans="1:9" s="287" customFormat="1" x14ac:dyDescent="0.25"/>
    <row r="33" spans="1:19" s="287" customFormat="1" x14ac:dyDescent="0.25"/>
    <row r="34" spans="1:19" x14ac:dyDescent="0.2">
      <c r="A34" s="287"/>
      <c r="C34" s="188"/>
      <c r="D34" s="188"/>
      <c r="E34" s="188"/>
      <c r="F34" s="188"/>
      <c r="G34" s="188"/>
      <c r="H34" s="188"/>
      <c r="I34" s="188"/>
      <c r="J34" s="188"/>
      <c r="K34" s="188"/>
      <c r="L34" s="188"/>
      <c r="O34" s="188"/>
      <c r="P34" s="188"/>
      <c r="Q34" s="188"/>
      <c r="R34" s="188"/>
      <c r="S34" s="188"/>
    </row>
    <row r="35" spans="1:19" x14ac:dyDescent="0.2">
      <c r="A35" s="287"/>
      <c r="C35" s="188"/>
      <c r="D35" s="188"/>
      <c r="E35" s="188"/>
      <c r="F35" s="188"/>
      <c r="G35" s="188"/>
      <c r="H35" s="188"/>
      <c r="I35" s="188"/>
      <c r="J35" s="188"/>
      <c r="K35" s="188"/>
      <c r="L35" s="188"/>
      <c r="O35" s="188"/>
      <c r="P35" s="188"/>
      <c r="Q35" s="188"/>
      <c r="R35" s="188"/>
      <c r="S35" s="188"/>
    </row>
    <row r="36" spans="1:19" ht="15" x14ac:dyDescent="0.25">
      <c r="A36" s="287"/>
      <c r="C36"/>
      <c r="D36" s="188"/>
      <c r="E36" s="188"/>
      <c r="F36" s="188"/>
      <c r="G36" s="188"/>
      <c r="H36" s="188"/>
      <c r="I36" s="188"/>
      <c r="J36" s="188"/>
      <c r="K36" s="188"/>
      <c r="L36" s="188"/>
      <c r="O36" s="188"/>
      <c r="P36" s="188"/>
      <c r="Q36" s="188"/>
      <c r="R36" s="188"/>
      <c r="S36" s="188"/>
    </row>
    <row r="37" spans="1:19" x14ac:dyDescent="0.2">
      <c r="A37" s="287"/>
      <c r="C37" s="188"/>
      <c r="D37" s="188"/>
      <c r="E37" s="188"/>
      <c r="F37" s="188"/>
      <c r="G37" s="188"/>
      <c r="H37" s="188"/>
      <c r="I37" s="188"/>
      <c r="J37" s="188"/>
      <c r="K37" s="188"/>
      <c r="L37" s="188"/>
      <c r="O37" s="188"/>
      <c r="P37" s="188"/>
      <c r="Q37" s="188"/>
      <c r="R37" s="188"/>
      <c r="S37" s="188"/>
    </row>
    <row r="38" spans="1:19" x14ac:dyDescent="0.2">
      <c r="A38" s="287"/>
      <c r="C38" s="188"/>
      <c r="D38" s="188"/>
      <c r="E38" s="188"/>
      <c r="F38" s="188"/>
      <c r="G38" s="188"/>
      <c r="H38" s="188"/>
      <c r="I38" s="188"/>
      <c r="J38" s="188"/>
      <c r="K38" s="188"/>
      <c r="L38" s="188"/>
      <c r="O38" s="188"/>
      <c r="P38" s="188"/>
      <c r="Q38" s="188"/>
      <c r="R38" s="188"/>
      <c r="S38" s="188"/>
    </row>
    <row r="39" spans="1:19" x14ac:dyDescent="0.2">
      <c r="C39" s="188"/>
      <c r="D39" s="188"/>
      <c r="E39" s="188"/>
      <c r="F39" s="188"/>
      <c r="G39" s="188"/>
      <c r="H39" s="188"/>
      <c r="I39" s="188"/>
      <c r="J39" s="188"/>
      <c r="K39" s="188"/>
      <c r="L39" s="188"/>
      <c r="O39" s="188"/>
      <c r="P39" s="188"/>
      <c r="Q39" s="188"/>
      <c r="R39" s="188"/>
      <c r="S39" s="188"/>
    </row>
    <row r="40" spans="1:19" x14ac:dyDescent="0.2">
      <c r="C40" s="188"/>
      <c r="D40" s="188"/>
      <c r="E40" s="188"/>
      <c r="F40" s="188"/>
      <c r="G40" s="188"/>
      <c r="H40" s="188"/>
      <c r="I40" s="188"/>
      <c r="J40" s="188"/>
      <c r="K40" s="188"/>
      <c r="L40" s="188"/>
      <c r="O40" s="188"/>
      <c r="P40" s="188"/>
      <c r="Q40" s="188"/>
      <c r="R40" s="188"/>
      <c r="S40" s="188"/>
    </row>
    <row r="41" spans="1:19" x14ac:dyDescent="0.2">
      <c r="C41" s="188"/>
      <c r="D41" s="188"/>
      <c r="E41" s="188"/>
      <c r="F41" s="188"/>
      <c r="G41" s="188"/>
      <c r="H41" s="188"/>
      <c r="I41" s="188"/>
      <c r="J41" s="188"/>
      <c r="K41" s="188"/>
      <c r="L41" s="188"/>
      <c r="O41" s="188"/>
      <c r="P41" s="188"/>
      <c r="Q41" s="188"/>
      <c r="R41" s="188"/>
      <c r="S41" s="188"/>
    </row>
    <row r="42" spans="1:19" x14ac:dyDescent="0.2">
      <c r="C42" s="188"/>
      <c r="D42" s="188"/>
      <c r="E42" s="188"/>
      <c r="F42" s="188"/>
      <c r="G42" s="188"/>
      <c r="H42" s="188"/>
      <c r="I42" s="188"/>
      <c r="J42" s="188"/>
      <c r="K42" s="188"/>
      <c r="L42" s="188"/>
      <c r="O42" s="188"/>
      <c r="P42" s="188"/>
      <c r="Q42" s="188"/>
      <c r="R42" s="188"/>
      <c r="S42" s="188"/>
    </row>
    <row r="43" spans="1:19" x14ac:dyDescent="0.2">
      <c r="C43" s="188"/>
      <c r="D43" s="188"/>
      <c r="E43" s="188"/>
      <c r="F43" s="188"/>
      <c r="G43" s="188"/>
      <c r="H43" s="188"/>
      <c r="I43" s="188"/>
      <c r="J43" s="188"/>
      <c r="K43" s="188"/>
      <c r="L43" s="188"/>
      <c r="O43" s="188"/>
      <c r="P43" s="188"/>
      <c r="Q43" s="188"/>
      <c r="R43" s="188"/>
      <c r="S43" s="188"/>
    </row>
    <row r="44" spans="1:19" x14ac:dyDescent="0.2">
      <c r="C44" s="188"/>
      <c r="D44" s="188"/>
      <c r="E44" s="188"/>
      <c r="F44" s="188"/>
      <c r="G44" s="188"/>
      <c r="H44" s="188"/>
      <c r="I44" s="188"/>
      <c r="J44" s="188"/>
      <c r="K44" s="188"/>
      <c r="L44" s="188"/>
      <c r="O44" s="188"/>
      <c r="P44" s="188"/>
      <c r="Q44" s="188"/>
      <c r="R44" s="188"/>
      <c r="S44" s="188"/>
    </row>
    <row r="45" spans="1:19" x14ac:dyDescent="0.2">
      <c r="C45" s="188"/>
      <c r="D45" s="188"/>
      <c r="E45" s="188"/>
      <c r="F45" s="188"/>
      <c r="G45" s="188"/>
      <c r="H45" s="188"/>
      <c r="I45" s="243"/>
      <c r="J45" s="188"/>
      <c r="K45" s="188"/>
      <c r="L45" s="243"/>
      <c r="M45" s="243"/>
      <c r="O45" s="188"/>
      <c r="P45" s="244"/>
    </row>
    <row r="46" spans="1:19" x14ac:dyDescent="0.2">
      <c r="C46" s="188"/>
      <c r="D46" s="188"/>
      <c r="E46" s="188"/>
      <c r="F46" s="188"/>
      <c r="G46" s="188"/>
      <c r="H46" s="188"/>
      <c r="I46" s="243"/>
      <c r="J46" s="188"/>
      <c r="K46" s="188"/>
      <c r="L46" s="243"/>
      <c r="M46" s="243"/>
      <c r="O46" s="188"/>
      <c r="P46" s="244"/>
    </row>
    <row r="47" spans="1:19" x14ac:dyDescent="0.2">
      <c r="C47" s="188"/>
      <c r="D47" s="188"/>
      <c r="E47" s="188"/>
      <c r="F47" s="188"/>
      <c r="G47" s="188"/>
      <c r="H47" s="188"/>
      <c r="I47" s="243"/>
      <c r="J47" s="188"/>
      <c r="K47" s="188"/>
      <c r="L47" s="243"/>
      <c r="M47" s="243"/>
      <c r="O47" s="188"/>
      <c r="P47" s="244"/>
    </row>
    <row r="48" spans="1:19" x14ac:dyDescent="0.2">
      <c r="C48" s="188"/>
      <c r="D48" s="188"/>
      <c r="E48" s="188"/>
      <c r="F48" s="188"/>
      <c r="G48" s="188"/>
      <c r="H48" s="188"/>
      <c r="I48" s="188"/>
      <c r="J48" s="288"/>
      <c r="K48" s="188"/>
      <c r="L48" s="243"/>
      <c r="M48" s="243"/>
      <c r="O48" s="188"/>
      <c r="P48" s="244"/>
    </row>
    <row r="49" spans="1:26" x14ac:dyDescent="0.2">
      <c r="C49" s="188"/>
      <c r="D49" s="188"/>
      <c r="E49" s="188"/>
      <c r="F49" s="188"/>
      <c r="G49" s="188"/>
      <c r="H49" s="188"/>
      <c r="I49" s="188"/>
      <c r="J49" s="288"/>
      <c r="K49" s="188"/>
      <c r="L49" s="243"/>
      <c r="M49" s="243"/>
      <c r="O49" s="188"/>
      <c r="P49" s="244"/>
    </row>
    <row r="50" spans="1:26" x14ac:dyDescent="0.2">
      <c r="A50" s="241"/>
      <c r="B50" s="241"/>
      <c r="C50" s="241"/>
      <c r="D50" s="241"/>
      <c r="E50" s="248"/>
      <c r="F50" s="280"/>
      <c r="G50" s="188"/>
      <c r="H50" s="188"/>
      <c r="I50" s="243"/>
      <c r="J50" s="188"/>
      <c r="K50" s="188"/>
      <c r="L50" s="243"/>
      <c r="M50" s="243"/>
      <c r="O50" s="188"/>
      <c r="P50" s="244"/>
    </row>
    <row r="51" spans="1:26" x14ac:dyDescent="0.2">
      <c r="A51" s="241"/>
      <c r="B51" s="241"/>
      <c r="C51" s="241"/>
      <c r="D51" s="241"/>
      <c r="E51" s="248"/>
      <c r="F51" s="280"/>
      <c r="G51" s="188"/>
      <c r="H51" s="188"/>
      <c r="I51" s="243"/>
      <c r="J51" s="188"/>
      <c r="K51" s="188"/>
      <c r="L51" s="243"/>
      <c r="M51" s="243"/>
      <c r="O51" s="188"/>
      <c r="P51" s="244"/>
    </row>
    <row r="52" spans="1:26" x14ac:dyDescent="0.2">
      <c r="A52" s="241"/>
      <c r="B52" s="241"/>
      <c r="C52" s="241"/>
      <c r="D52" s="241"/>
      <c r="E52" s="248"/>
      <c r="F52" s="280"/>
      <c r="G52" s="188"/>
      <c r="H52" s="188"/>
      <c r="I52" s="243"/>
      <c r="J52" s="188"/>
      <c r="K52" s="188"/>
      <c r="L52" s="243"/>
      <c r="M52" s="243"/>
      <c r="O52" s="188"/>
      <c r="P52" s="244"/>
    </row>
    <row r="53" spans="1:26" x14ac:dyDescent="0.2">
      <c r="A53" s="241"/>
      <c r="B53" s="241"/>
      <c r="C53" s="241"/>
      <c r="D53" s="241"/>
      <c r="E53" s="248"/>
      <c r="F53" s="280"/>
      <c r="G53" s="188"/>
      <c r="H53" s="188"/>
      <c r="I53" s="243"/>
      <c r="J53" s="188"/>
      <c r="K53" s="188"/>
      <c r="L53" s="243"/>
      <c r="M53" s="243"/>
      <c r="O53" s="188"/>
      <c r="P53" s="244"/>
    </row>
    <row r="54" spans="1:26" x14ac:dyDescent="0.2">
      <c r="A54" s="241"/>
      <c r="B54" s="241"/>
      <c r="C54" s="241"/>
      <c r="D54" s="241"/>
      <c r="E54" s="248"/>
      <c r="F54" s="280"/>
      <c r="G54" s="188"/>
      <c r="H54" s="188"/>
      <c r="I54" s="243"/>
      <c r="J54" s="188"/>
      <c r="K54" s="188"/>
      <c r="L54" s="243"/>
      <c r="M54" s="243"/>
      <c r="O54" s="188"/>
      <c r="P54" s="244"/>
    </row>
    <row r="55" spans="1:26" x14ac:dyDescent="0.2">
      <c r="A55" s="241"/>
      <c r="B55" s="241"/>
      <c r="C55" s="241"/>
      <c r="D55" s="241"/>
      <c r="E55" s="248"/>
      <c r="F55" s="280"/>
      <c r="G55" s="188"/>
      <c r="H55" s="188"/>
      <c r="I55" s="243"/>
      <c r="J55" s="188"/>
      <c r="K55" s="188"/>
      <c r="L55" s="243"/>
      <c r="O55" s="188"/>
      <c r="P55" s="244"/>
      <c r="W55" s="243"/>
      <c r="X55" s="243"/>
    </row>
    <row r="56" spans="1:26" x14ac:dyDescent="0.2">
      <c r="A56" s="241"/>
      <c r="B56" s="241"/>
      <c r="C56" s="241"/>
      <c r="D56" s="241"/>
      <c r="E56" s="248"/>
      <c r="F56" s="280"/>
      <c r="G56" s="188"/>
      <c r="H56" s="188"/>
      <c r="I56" s="243"/>
      <c r="J56" s="188"/>
      <c r="K56" s="188"/>
      <c r="L56" s="243"/>
      <c r="O56" s="188"/>
      <c r="P56" s="244"/>
      <c r="W56" s="263"/>
      <c r="X56" s="243"/>
      <c r="Y56" s="243"/>
      <c r="Z56" s="243"/>
    </row>
    <row r="57" spans="1:26" x14ac:dyDescent="0.2">
      <c r="A57" s="241"/>
      <c r="B57" s="241"/>
      <c r="C57" s="241"/>
      <c r="D57" s="241"/>
      <c r="E57" s="248"/>
      <c r="F57" s="280"/>
      <c r="G57" s="188"/>
      <c r="H57" s="188"/>
      <c r="I57" s="243"/>
      <c r="J57" s="188"/>
      <c r="K57" s="188"/>
      <c r="L57" s="188"/>
      <c r="O57" s="188"/>
      <c r="P57" s="244"/>
      <c r="W57" s="263"/>
    </row>
    <row r="58" spans="1:26" x14ac:dyDescent="0.2">
      <c r="A58" s="241"/>
      <c r="B58" s="241"/>
      <c r="C58" s="241"/>
      <c r="D58" s="241"/>
      <c r="E58" s="248"/>
      <c r="F58" s="280"/>
      <c r="G58" s="188"/>
      <c r="H58" s="188"/>
      <c r="I58" s="243"/>
      <c r="J58" s="188"/>
      <c r="K58" s="188"/>
      <c r="L58" s="188"/>
      <c r="O58" s="188"/>
      <c r="P58" s="244"/>
      <c r="W58" s="243"/>
    </row>
    <row r="59" spans="1:26" x14ac:dyDescent="0.2">
      <c r="A59" s="241"/>
      <c r="B59" s="241"/>
      <c r="C59" s="241"/>
      <c r="D59" s="241"/>
      <c r="E59" s="248"/>
      <c r="F59" s="280"/>
      <c r="G59" s="188"/>
      <c r="H59" s="188"/>
      <c r="I59" s="243"/>
      <c r="J59" s="188"/>
      <c r="K59" s="188"/>
      <c r="L59" s="188"/>
      <c r="O59" s="188"/>
      <c r="P59" s="244"/>
    </row>
    <row r="60" spans="1:26" x14ac:dyDescent="0.2">
      <c r="A60" s="241"/>
      <c r="B60" s="241"/>
      <c r="C60" s="241"/>
      <c r="D60" s="241"/>
      <c r="E60" s="248"/>
      <c r="F60" s="280"/>
      <c r="G60" s="188"/>
      <c r="H60" s="188"/>
      <c r="I60" s="243"/>
      <c r="J60" s="188"/>
      <c r="K60" s="188"/>
      <c r="L60" s="188"/>
      <c r="O60" s="188"/>
      <c r="P60" s="244"/>
    </row>
    <row r="61" spans="1:26" x14ac:dyDescent="0.2">
      <c r="A61" s="241"/>
      <c r="B61" s="241"/>
      <c r="C61" s="241"/>
      <c r="D61" s="241"/>
      <c r="E61" s="248"/>
      <c r="F61" s="280"/>
      <c r="G61" s="188"/>
      <c r="H61" s="188"/>
      <c r="I61" s="243"/>
      <c r="J61" s="188"/>
      <c r="K61" s="188"/>
      <c r="L61" s="188"/>
      <c r="O61" s="188"/>
      <c r="P61" s="244"/>
    </row>
    <row r="62" spans="1:26" x14ac:dyDescent="0.2">
      <c r="A62" s="241"/>
      <c r="B62" s="241"/>
      <c r="C62" s="241"/>
      <c r="D62" s="241"/>
      <c r="E62" s="248"/>
      <c r="F62" s="280"/>
      <c r="G62" s="188"/>
      <c r="H62" s="188"/>
      <c r="I62" s="243"/>
      <c r="J62" s="188"/>
      <c r="K62" s="188"/>
      <c r="L62" s="188"/>
      <c r="O62" s="188"/>
      <c r="P62" s="244"/>
    </row>
    <row r="63" spans="1:26" x14ac:dyDescent="0.2">
      <c r="A63" s="241"/>
      <c r="B63" s="241"/>
      <c r="C63" s="241"/>
      <c r="D63" s="241"/>
      <c r="E63" s="248"/>
      <c r="F63" s="280"/>
      <c r="G63" s="188"/>
      <c r="H63" s="188"/>
      <c r="I63" s="243"/>
      <c r="J63" s="188"/>
      <c r="K63" s="188"/>
      <c r="L63" s="188"/>
      <c r="O63" s="188"/>
      <c r="P63" s="244"/>
    </row>
    <row r="64" spans="1:26" x14ac:dyDescent="0.2">
      <c r="A64" s="241"/>
      <c r="B64" s="241"/>
      <c r="C64" s="241"/>
      <c r="D64" s="241"/>
      <c r="E64" s="248"/>
      <c r="F64" s="280"/>
      <c r="G64" s="188"/>
      <c r="H64" s="188"/>
      <c r="I64" s="243"/>
      <c r="J64" s="188"/>
      <c r="K64" s="188"/>
      <c r="L64" s="188"/>
      <c r="O64" s="188"/>
      <c r="P64" s="244"/>
    </row>
    <row r="65" spans="1:22" x14ac:dyDescent="0.2">
      <c r="A65" s="241"/>
      <c r="B65" s="241"/>
      <c r="C65" s="241"/>
      <c r="D65" s="241"/>
      <c r="E65" s="248"/>
      <c r="F65" s="280"/>
      <c r="G65" s="188"/>
      <c r="H65" s="188"/>
      <c r="I65" s="243"/>
      <c r="J65" s="188"/>
      <c r="K65" s="188"/>
      <c r="L65" s="188"/>
      <c r="O65" s="188"/>
      <c r="P65" s="244"/>
    </row>
    <row r="66" spans="1:22" x14ac:dyDescent="0.2">
      <c r="A66" s="241"/>
      <c r="B66" s="241"/>
      <c r="C66" s="241"/>
      <c r="D66" s="241"/>
      <c r="E66" s="248"/>
      <c r="F66" s="280"/>
      <c r="G66" s="188"/>
      <c r="H66" s="188"/>
      <c r="I66" s="243"/>
      <c r="J66" s="188"/>
      <c r="K66" s="188"/>
      <c r="L66" s="188"/>
      <c r="O66" s="188"/>
      <c r="P66" s="244"/>
    </row>
    <row r="67" spans="1:22" x14ac:dyDescent="0.2">
      <c r="A67" s="241"/>
      <c r="B67" s="241"/>
      <c r="C67" s="241"/>
      <c r="D67" s="241"/>
      <c r="E67" s="248"/>
      <c r="F67" s="280"/>
      <c r="G67" s="188"/>
      <c r="H67" s="188"/>
      <c r="I67" s="243"/>
      <c r="J67" s="188"/>
      <c r="K67" s="188"/>
      <c r="L67" s="188"/>
      <c r="O67" s="188"/>
      <c r="P67" s="244"/>
    </row>
    <row r="68" spans="1:22" x14ac:dyDescent="0.2">
      <c r="A68" s="241"/>
      <c r="B68" s="241"/>
      <c r="C68" s="241"/>
      <c r="D68" s="241"/>
      <c r="E68" s="248"/>
      <c r="F68" s="280"/>
      <c r="G68" s="244"/>
      <c r="H68" s="188"/>
      <c r="I68" s="243"/>
      <c r="J68" s="188"/>
      <c r="K68" s="188"/>
      <c r="L68" s="188"/>
      <c r="O68" s="188"/>
      <c r="P68" s="244"/>
    </row>
    <row r="69" spans="1:22" x14ac:dyDescent="0.2">
      <c r="A69" s="241"/>
      <c r="B69" s="241"/>
      <c r="C69" s="241"/>
      <c r="D69" s="241"/>
      <c r="E69" s="248"/>
      <c r="F69" s="280"/>
      <c r="G69" s="244"/>
      <c r="H69" s="188"/>
      <c r="I69" s="243"/>
      <c r="J69" s="188"/>
      <c r="K69" s="188"/>
      <c r="L69" s="188"/>
      <c r="O69" s="188"/>
      <c r="P69" s="244"/>
    </row>
    <row r="70" spans="1:22" x14ac:dyDescent="0.2">
      <c r="A70" s="241"/>
      <c r="B70" s="241"/>
      <c r="C70" s="241"/>
      <c r="D70" s="241"/>
      <c r="E70" s="248"/>
      <c r="F70" s="280"/>
      <c r="G70" s="244"/>
      <c r="H70" s="188"/>
      <c r="I70" s="243"/>
      <c r="J70" s="188"/>
      <c r="K70" s="188"/>
      <c r="L70" s="188"/>
      <c r="O70" s="188"/>
      <c r="P70" s="244"/>
    </row>
    <row r="71" spans="1:22" x14ac:dyDescent="0.2">
      <c r="A71" s="241"/>
      <c r="B71" s="241"/>
      <c r="C71" s="241"/>
      <c r="D71" s="241"/>
      <c r="E71" s="248"/>
      <c r="F71" s="280"/>
      <c r="G71" s="244"/>
      <c r="H71" s="188"/>
      <c r="I71" s="243"/>
      <c r="J71" s="188"/>
      <c r="K71" s="188"/>
      <c r="L71" s="188"/>
      <c r="O71" s="188"/>
      <c r="P71" s="244"/>
    </row>
    <row r="72" spans="1:22" x14ac:dyDescent="0.2">
      <c r="A72" s="241"/>
      <c r="B72" s="241"/>
      <c r="C72" s="241"/>
      <c r="D72" s="241"/>
      <c r="E72" s="248"/>
      <c r="F72" s="280"/>
      <c r="G72" s="188"/>
      <c r="H72" s="188"/>
      <c r="I72" s="243"/>
      <c r="J72" s="188"/>
      <c r="K72" s="188"/>
      <c r="L72" s="188"/>
      <c r="O72" s="188"/>
      <c r="P72" s="244"/>
    </row>
    <row r="73" spans="1:22" x14ac:dyDescent="0.2">
      <c r="A73" s="241"/>
      <c r="B73" s="241"/>
      <c r="C73" s="241"/>
      <c r="D73" s="241"/>
      <c r="E73" s="248"/>
      <c r="F73" s="280"/>
      <c r="G73" s="188"/>
      <c r="H73" s="188"/>
      <c r="I73" s="243"/>
      <c r="J73" s="188"/>
      <c r="K73" s="188"/>
      <c r="L73" s="188"/>
      <c r="O73" s="188"/>
      <c r="P73" s="244"/>
    </row>
    <row r="74" spans="1:22" x14ac:dyDescent="0.2">
      <c r="A74" s="241"/>
      <c r="B74" s="241"/>
      <c r="C74" s="241"/>
      <c r="D74" s="241"/>
      <c r="E74" s="248"/>
      <c r="F74" s="280"/>
      <c r="G74" s="188"/>
      <c r="H74" s="188"/>
      <c r="I74" s="243"/>
      <c r="J74" s="188"/>
      <c r="K74" s="188"/>
      <c r="L74" s="188"/>
      <c r="O74" s="188"/>
      <c r="P74" s="244"/>
      <c r="R74" s="278"/>
      <c r="S74" s="278"/>
      <c r="T74" s="241"/>
      <c r="U74" s="241"/>
      <c r="V74" s="241"/>
    </row>
    <row r="75" spans="1:22" x14ac:dyDescent="0.2">
      <c r="A75" s="241"/>
      <c r="B75" s="241"/>
      <c r="C75" s="241"/>
      <c r="D75" s="241"/>
      <c r="E75" s="248"/>
      <c r="F75" s="280"/>
      <c r="G75" s="188"/>
      <c r="H75" s="188"/>
      <c r="I75" s="243"/>
      <c r="J75" s="188"/>
      <c r="K75" s="188"/>
      <c r="L75" s="188"/>
      <c r="O75" s="188"/>
      <c r="P75" s="244"/>
      <c r="R75" s="278"/>
      <c r="S75" s="278"/>
      <c r="T75" s="241"/>
      <c r="U75" s="241"/>
      <c r="V75" s="241"/>
    </row>
    <row r="76" spans="1:22" x14ac:dyDescent="0.2">
      <c r="A76" s="241"/>
      <c r="B76" s="241"/>
      <c r="C76" s="241"/>
      <c r="D76" s="241"/>
      <c r="E76" s="248"/>
      <c r="F76" s="280"/>
      <c r="G76" s="188"/>
      <c r="H76" s="188"/>
      <c r="I76" s="243"/>
      <c r="J76" s="188"/>
      <c r="K76" s="188"/>
      <c r="L76" s="188"/>
      <c r="O76" s="188"/>
      <c r="P76" s="244"/>
      <c r="R76" s="278"/>
      <c r="S76" s="278"/>
      <c r="T76" s="241"/>
      <c r="U76" s="241"/>
      <c r="V76" s="241"/>
    </row>
    <row r="77" spans="1:22" x14ac:dyDescent="0.2">
      <c r="A77" s="241"/>
      <c r="B77" s="241"/>
      <c r="C77" s="241"/>
      <c r="D77" s="241"/>
      <c r="E77" s="248"/>
      <c r="F77" s="280"/>
      <c r="G77" s="188"/>
      <c r="H77" s="188"/>
      <c r="I77" s="243"/>
      <c r="J77" s="188"/>
      <c r="K77" s="188"/>
      <c r="L77" s="188"/>
      <c r="O77" s="188"/>
      <c r="P77" s="244"/>
      <c r="R77" s="278"/>
      <c r="S77" s="278"/>
      <c r="T77" s="241"/>
      <c r="U77" s="241"/>
      <c r="V77" s="241"/>
    </row>
    <row r="78" spans="1:22" x14ac:dyDescent="0.2">
      <c r="A78" s="241"/>
      <c r="B78" s="241"/>
      <c r="C78" s="241"/>
      <c r="D78" s="241"/>
      <c r="E78" s="248"/>
      <c r="F78" s="280"/>
      <c r="G78" s="188"/>
      <c r="H78" s="188"/>
      <c r="I78" s="243"/>
      <c r="J78" s="188"/>
      <c r="K78" s="188"/>
      <c r="L78" s="188"/>
      <c r="O78" s="188"/>
      <c r="P78" s="244"/>
      <c r="R78" s="278"/>
      <c r="S78" s="278"/>
      <c r="T78" s="241"/>
      <c r="U78" s="241"/>
      <c r="V78" s="241"/>
    </row>
    <row r="79" spans="1:22" x14ac:dyDescent="0.2">
      <c r="A79" s="241"/>
      <c r="B79" s="241"/>
      <c r="C79" s="241"/>
      <c r="D79" s="241"/>
      <c r="E79" s="248"/>
      <c r="F79" s="280"/>
      <c r="G79" s="188"/>
      <c r="H79" s="188"/>
      <c r="I79" s="243"/>
      <c r="J79" s="188"/>
      <c r="K79" s="188"/>
      <c r="L79" s="188"/>
      <c r="N79" s="241"/>
      <c r="O79" s="241"/>
      <c r="P79" s="278"/>
      <c r="Q79" s="278"/>
      <c r="R79" s="278"/>
      <c r="S79" s="278"/>
      <c r="T79" s="241"/>
      <c r="U79" s="241"/>
      <c r="V79" s="241"/>
    </row>
    <row r="80" spans="1:22" x14ac:dyDescent="0.2">
      <c r="A80" s="241"/>
      <c r="B80" s="241"/>
      <c r="C80" s="241"/>
      <c r="D80" s="241"/>
      <c r="E80" s="248"/>
      <c r="F80" s="280"/>
      <c r="G80" s="188"/>
      <c r="H80" s="188"/>
      <c r="I80" s="243"/>
      <c r="J80" s="188"/>
      <c r="K80" s="188"/>
      <c r="L80" s="188"/>
      <c r="N80" s="241"/>
      <c r="O80" s="241"/>
      <c r="P80" s="278"/>
      <c r="Q80" s="278"/>
      <c r="R80" s="278"/>
      <c r="S80" s="278"/>
      <c r="T80" s="241"/>
      <c r="U80" s="241"/>
      <c r="V80" s="241"/>
    </row>
    <row r="81" spans="1:22" x14ac:dyDescent="0.2">
      <c r="A81" s="241"/>
      <c r="B81" s="241"/>
      <c r="C81" s="241"/>
      <c r="D81" s="241"/>
      <c r="E81" s="248"/>
      <c r="F81" s="280"/>
      <c r="G81" s="188"/>
      <c r="H81" s="188"/>
      <c r="I81" s="243"/>
      <c r="J81" s="188"/>
      <c r="K81" s="188"/>
      <c r="L81" s="188"/>
      <c r="N81" s="241"/>
      <c r="O81" s="241"/>
      <c r="P81" s="278"/>
      <c r="Q81" s="278"/>
      <c r="R81" s="278"/>
      <c r="S81" s="278"/>
      <c r="T81" s="241"/>
      <c r="U81" s="241"/>
      <c r="V81" s="241"/>
    </row>
    <row r="82" spans="1:22" x14ac:dyDescent="0.2">
      <c r="A82" s="241"/>
      <c r="B82" s="241"/>
      <c r="C82" s="241"/>
      <c r="D82" s="241"/>
      <c r="E82" s="248"/>
      <c r="F82" s="280"/>
      <c r="G82" s="188"/>
      <c r="H82" s="188"/>
      <c r="I82" s="243"/>
      <c r="J82" s="188"/>
      <c r="K82" s="188"/>
      <c r="L82" s="188"/>
      <c r="N82" s="241"/>
      <c r="O82" s="241"/>
      <c r="P82" s="278"/>
      <c r="Q82" s="278"/>
      <c r="R82" s="278"/>
      <c r="S82" s="278"/>
      <c r="T82" s="241"/>
      <c r="U82" s="241"/>
      <c r="V82" s="241"/>
    </row>
    <row r="83" spans="1:22" x14ac:dyDescent="0.2">
      <c r="A83" s="241"/>
      <c r="B83" s="241"/>
      <c r="C83" s="241"/>
      <c r="D83" s="241"/>
      <c r="E83" s="248"/>
      <c r="F83" s="280"/>
      <c r="G83" s="188"/>
      <c r="H83" s="188"/>
      <c r="I83" s="243"/>
      <c r="J83" s="188"/>
      <c r="K83" s="188"/>
      <c r="L83" s="188"/>
      <c r="N83" s="241"/>
      <c r="O83" s="241"/>
      <c r="P83" s="278"/>
      <c r="Q83" s="278"/>
      <c r="R83" s="278"/>
      <c r="S83" s="278"/>
      <c r="T83" s="241"/>
      <c r="U83" s="241"/>
      <c r="V83" s="241"/>
    </row>
    <row r="84" spans="1:22" x14ac:dyDescent="0.2">
      <c r="A84" s="241"/>
      <c r="B84" s="241"/>
      <c r="C84" s="241"/>
      <c r="D84" s="241"/>
      <c r="E84" s="248"/>
      <c r="F84" s="280"/>
      <c r="G84" s="188"/>
      <c r="H84" s="188"/>
      <c r="I84" s="243"/>
      <c r="J84" s="188"/>
      <c r="K84" s="188"/>
      <c r="L84" s="188"/>
      <c r="N84" s="241"/>
      <c r="O84" s="241"/>
      <c r="P84" s="278"/>
      <c r="Q84" s="278"/>
      <c r="R84" s="278"/>
      <c r="S84" s="278"/>
      <c r="T84" s="241"/>
      <c r="U84" s="241"/>
      <c r="V84" s="241"/>
    </row>
    <row r="85" spans="1:22" x14ac:dyDescent="0.2">
      <c r="A85" s="241"/>
      <c r="B85" s="241"/>
      <c r="C85" s="241"/>
      <c r="D85" s="241"/>
      <c r="E85" s="248"/>
      <c r="F85" s="280"/>
      <c r="G85" s="188"/>
      <c r="H85" s="188"/>
      <c r="I85" s="243"/>
      <c r="J85" s="188"/>
      <c r="K85" s="188"/>
      <c r="L85" s="188"/>
      <c r="N85" s="241"/>
      <c r="O85" s="241"/>
      <c r="P85" s="278"/>
      <c r="Q85" s="278"/>
      <c r="R85" s="278"/>
      <c r="S85" s="278"/>
      <c r="T85" s="241"/>
      <c r="U85" s="241"/>
      <c r="V85" s="241"/>
    </row>
    <row r="86" spans="1:22" x14ac:dyDescent="0.2">
      <c r="A86" s="241"/>
      <c r="B86" s="241"/>
      <c r="C86" s="241"/>
      <c r="D86" s="241"/>
      <c r="E86" s="248"/>
      <c r="F86" s="280"/>
      <c r="G86" s="188"/>
      <c r="H86" s="188"/>
      <c r="I86" s="243"/>
      <c r="J86" s="188"/>
      <c r="K86" s="188"/>
      <c r="L86" s="188"/>
      <c r="N86" s="241"/>
      <c r="O86" s="241"/>
      <c r="P86" s="278"/>
      <c r="Q86" s="278"/>
      <c r="R86" s="278"/>
      <c r="S86" s="278"/>
      <c r="T86" s="241"/>
      <c r="U86" s="241"/>
      <c r="V86" s="241"/>
    </row>
    <row r="87" spans="1:22" x14ac:dyDescent="0.2">
      <c r="A87" s="241"/>
      <c r="B87" s="241"/>
      <c r="C87" s="241"/>
      <c r="D87" s="241"/>
      <c r="E87" s="248"/>
      <c r="F87" s="280"/>
      <c r="G87" s="188"/>
      <c r="H87" s="188"/>
      <c r="I87" s="243"/>
      <c r="J87" s="188"/>
      <c r="K87" s="188"/>
      <c r="L87" s="188"/>
      <c r="N87" s="241"/>
      <c r="O87" s="241"/>
      <c r="P87" s="278"/>
      <c r="Q87" s="278"/>
      <c r="R87" s="278"/>
      <c r="S87" s="278"/>
      <c r="T87" s="241"/>
      <c r="U87" s="241"/>
      <c r="V87" s="241"/>
    </row>
    <row r="88" spans="1:22" x14ac:dyDescent="0.2">
      <c r="A88" s="241"/>
      <c r="B88" s="241"/>
      <c r="C88" s="241"/>
      <c r="D88" s="241"/>
      <c r="E88" s="248"/>
      <c r="F88" s="280"/>
      <c r="G88" s="188"/>
      <c r="H88" s="188"/>
      <c r="I88" s="243"/>
      <c r="J88" s="188"/>
      <c r="K88" s="188"/>
      <c r="L88" s="188"/>
      <c r="N88" s="241"/>
      <c r="O88" s="241"/>
      <c r="P88" s="278"/>
      <c r="Q88" s="278"/>
      <c r="R88" s="278"/>
      <c r="S88" s="278"/>
      <c r="T88" s="241"/>
      <c r="U88" s="241"/>
      <c r="V88" s="241"/>
    </row>
    <row r="89" spans="1:22" x14ac:dyDescent="0.2">
      <c r="A89" s="241"/>
      <c r="B89" s="241"/>
      <c r="C89" s="241"/>
      <c r="D89" s="241"/>
      <c r="E89" s="248"/>
      <c r="F89" s="280"/>
      <c r="G89" s="188"/>
      <c r="H89" s="188"/>
      <c r="I89" s="243"/>
      <c r="J89" s="188"/>
      <c r="K89" s="188"/>
      <c r="L89" s="188"/>
      <c r="N89" s="241"/>
      <c r="O89" s="241"/>
      <c r="P89" s="278"/>
      <c r="Q89" s="278"/>
      <c r="R89" s="278"/>
      <c r="S89" s="278"/>
      <c r="T89" s="241"/>
      <c r="U89" s="241"/>
      <c r="V89" s="241"/>
    </row>
    <row r="90" spans="1:22" x14ac:dyDescent="0.2">
      <c r="A90" s="241"/>
      <c r="B90" s="241"/>
      <c r="C90" s="241"/>
      <c r="D90" s="241"/>
      <c r="E90" s="248"/>
      <c r="F90" s="280"/>
      <c r="G90" s="188"/>
      <c r="H90" s="188"/>
      <c r="I90" s="243"/>
      <c r="J90" s="188"/>
      <c r="K90" s="188"/>
      <c r="L90" s="188"/>
      <c r="N90" s="241"/>
      <c r="O90" s="241"/>
      <c r="P90" s="278"/>
      <c r="Q90" s="278"/>
      <c r="R90" s="278"/>
      <c r="S90" s="278"/>
      <c r="T90" s="241"/>
      <c r="U90" s="241"/>
      <c r="V90" s="241"/>
    </row>
    <row r="91" spans="1:22" s="241" customFormat="1" x14ac:dyDescent="0.2">
      <c r="E91" s="248"/>
      <c r="F91" s="280"/>
      <c r="G91" s="188"/>
      <c r="H91" s="188"/>
      <c r="I91" s="243"/>
      <c r="J91" s="188"/>
      <c r="K91" s="188"/>
      <c r="L91" s="188"/>
      <c r="M91" s="188"/>
      <c r="P91" s="278"/>
      <c r="Q91" s="278"/>
      <c r="R91" s="278"/>
      <c r="S91" s="278"/>
    </row>
    <row r="92" spans="1:22" s="241" customFormat="1" x14ac:dyDescent="0.2">
      <c r="E92" s="248"/>
      <c r="F92" s="280"/>
      <c r="G92" s="188"/>
      <c r="H92" s="188"/>
      <c r="I92" s="243"/>
      <c r="J92" s="188"/>
      <c r="K92" s="188"/>
      <c r="L92" s="188"/>
      <c r="M92" s="188"/>
      <c r="P92" s="278"/>
      <c r="Q92" s="278"/>
      <c r="R92" s="278"/>
      <c r="S92" s="278"/>
    </row>
    <row r="93" spans="1:22" s="241" customFormat="1" x14ac:dyDescent="0.2">
      <c r="E93" s="248"/>
      <c r="F93" s="280"/>
      <c r="G93" s="188"/>
      <c r="H93" s="188"/>
      <c r="I93" s="243"/>
      <c r="J93" s="188"/>
      <c r="K93" s="188"/>
      <c r="L93" s="188"/>
      <c r="M93" s="188"/>
      <c r="P93" s="278"/>
      <c r="Q93" s="278"/>
      <c r="R93" s="278"/>
      <c r="S93" s="278"/>
    </row>
    <row r="94" spans="1:22" s="241" customFormat="1" x14ac:dyDescent="0.2">
      <c r="E94" s="248"/>
      <c r="F94" s="280"/>
      <c r="G94" s="188"/>
      <c r="H94" s="188"/>
      <c r="I94" s="243"/>
      <c r="J94" s="188"/>
      <c r="K94" s="188"/>
      <c r="L94" s="188"/>
      <c r="P94" s="278"/>
      <c r="Q94" s="278"/>
      <c r="R94" s="278"/>
      <c r="S94" s="278"/>
    </row>
    <row r="95" spans="1:22" s="241" customFormat="1" x14ac:dyDescent="0.2">
      <c r="E95" s="248"/>
      <c r="F95" s="280"/>
      <c r="G95" s="188"/>
      <c r="H95" s="188"/>
      <c r="I95" s="243"/>
      <c r="J95" s="188"/>
      <c r="K95" s="188"/>
      <c r="L95" s="188"/>
      <c r="P95" s="278"/>
      <c r="Q95" s="278"/>
      <c r="R95" s="278"/>
      <c r="S95" s="278"/>
    </row>
    <row r="96" spans="1:22" s="241" customFormat="1" x14ac:dyDescent="0.2">
      <c r="E96" s="248"/>
      <c r="F96" s="280"/>
      <c r="G96" s="188"/>
      <c r="H96" s="188"/>
      <c r="I96" s="243"/>
      <c r="J96" s="188"/>
      <c r="K96" s="188"/>
      <c r="L96" s="188"/>
      <c r="P96" s="278"/>
      <c r="Q96" s="278"/>
      <c r="R96" s="278"/>
      <c r="S96" s="278"/>
    </row>
    <row r="97" spans="5:19" s="241" customFormat="1" x14ac:dyDescent="0.2">
      <c r="E97" s="248"/>
      <c r="F97" s="280"/>
      <c r="G97" s="188"/>
      <c r="H97" s="188"/>
      <c r="I97" s="243"/>
      <c r="J97" s="188"/>
      <c r="K97" s="188"/>
      <c r="L97" s="188"/>
      <c r="P97" s="278"/>
      <c r="Q97" s="278"/>
      <c r="R97" s="278"/>
      <c r="S97" s="278"/>
    </row>
    <row r="98" spans="5:19" s="241" customFormat="1" x14ac:dyDescent="0.2">
      <c r="E98" s="248"/>
      <c r="F98" s="280"/>
      <c r="G98" s="188"/>
      <c r="H98" s="188"/>
      <c r="I98" s="243"/>
      <c r="J98" s="188"/>
      <c r="K98" s="188"/>
      <c r="L98" s="188"/>
      <c r="P98" s="278"/>
      <c r="Q98" s="278"/>
      <c r="R98" s="278"/>
      <c r="S98" s="278"/>
    </row>
    <row r="99" spans="5:19" s="241" customFormat="1" x14ac:dyDescent="0.2">
      <c r="E99" s="248"/>
      <c r="F99" s="280"/>
      <c r="G99" s="188"/>
      <c r="H99" s="188"/>
      <c r="I99" s="243"/>
      <c r="J99" s="188"/>
      <c r="K99" s="188"/>
      <c r="L99" s="188"/>
      <c r="P99" s="278"/>
      <c r="Q99" s="278"/>
      <c r="R99" s="278"/>
      <c r="S99" s="278"/>
    </row>
    <row r="100" spans="5:19" s="241" customFormat="1" x14ac:dyDescent="0.2">
      <c r="E100" s="248"/>
      <c r="F100" s="280"/>
      <c r="G100" s="188"/>
      <c r="H100" s="188"/>
      <c r="I100" s="243"/>
      <c r="J100" s="188"/>
      <c r="K100" s="188"/>
      <c r="L100" s="188"/>
      <c r="P100" s="278"/>
      <c r="Q100" s="278"/>
      <c r="R100" s="278"/>
      <c r="S100" s="278"/>
    </row>
    <row r="101" spans="5:19" s="241" customFormat="1" x14ac:dyDescent="0.2">
      <c r="E101" s="248"/>
      <c r="F101" s="280"/>
      <c r="G101" s="188"/>
      <c r="H101" s="188"/>
      <c r="I101" s="243"/>
      <c r="J101" s="188"/>
      <c r="K101" s="188"/>
      <c r="L101" s="188"/>
      <c r="P101" s="278"/>
      <c r="Q101" s="278"/>
      <c r="R101" s="278"/>
      <c r="S101" s="278"/>
    </row>
    <row r="102" spans="5:19" s="241" customFormat="1" x14ac:dyDescent="0.2">
      <c r="E102" s="248"/>
      <c r="F102" s="280"/>
      <c r="G102" s="188"/>
      <c r="H102" s="188"/>
      <c r="I102" s="243"/>
      <c r="J102" s="188"/>
      <c r="K102" s="188"/>
      <c r="L102" s="188"/>
      <c r="P102" s="278"/>
      <c r="Q102" s="278"/>
      <c r="R102" s="278"/>
      <c r="S102" s="278"/>
    </row>
    <row r="103" spans="5:19" s="241" customFormat="1" x14ac:dyDescent="0.2">
      <c r="E103" s="248"/>
      <c r="F103" s="280"/>
      <c r="G103" s="188"/>
      <c r="H103" s="188"/>
      <c r="I103" s="243"/>
      <c r="J103" s="188"/>
      <c r="K103" s="188"/>
      <c r="L103" s="188"/>
      <c r="P103" s="278"/>
      <c r="Q103" s="278"/>
      <c r="R103" s="278"/>
      <c r="S103" s="278"/>
    </row>
    <row r="104" spans="5:19" s="241" customFormat="1" x14ac:dyDescent="0.2">
      <c r="E104" s="248"/>
      <c r="F104" s="280"/>
      <c r="G104" s="188"/>
      <c r="H104" s="188"/>
      <c r="I104" s="243"/>
      <c r="J104" s="188"/>
      <c r="K104" s="188"/>
      <c r="L104" s="188"/>
      <c r="P104" s="278"/>
      <c r="Q104" s="278"/>
      <c r="R104" s="278"/>
      <c r="S104" s="278"/>
    </row>
    <row r="105" spans="5:19" s="241" customFormat="1" x14ac:dyDescent="0.2">
      <c r="E105" s="248"/>
      <c r="F105" s="280"/>
      <c r="G105" s="188"/>
      <c r="H105" s="188"/>
      <c r="I105" s="243"/>
      <c r="J105" s="188"/>
      <c r="K105" s="188"/>
      <c r="L105" s="188"/>
      <c r="P105" s="278"/>
      <c r="Q105" s="278"/>
      <c r="R105" s="278"/>
      <c r="S105" s="278"/>
    </row>
    <row r="106" spans="5:19" s="241" customFormat="1" x14ac:dyDescent="0.2">
      <c r="E106" s="248"/>
      <c r="F106" s="280"/>
      <c r="G106" s="188"/>
      <c r="H106" s="188"/>
      <c r="I106" s="243"/>
      <c r="J106" s="188"/>
      <c r="K106" s="188"/>
      <c r="L106" s="188"/>
      <c r="P106" s="278"/>
      <c r="Q106" s="278"/>
      <c r="R106" s="278"/>
      <c r="S106" s="278"/>
    </row>
    <row r="107" spans="5:19" s="241" customFormat="1" x14ac:dyDescent="0.2">
      <c r="E107" s="248"/>
      <c r="F107" s="280"/>
      <c r="G107" s="188"/>
      <c r="H107" s="188"/>
      <c r="I107" s="243"/>
      <c r="J107" s="188"/>
      <c r="K107" s="188"/>
      <c r="L107" s="188"/>
      <c r="P107" s="278"/>
      <c r="Q107" s="278"/>
      <c r="R107" s="278"/>
      <c r="S107" s="278"/>
    </row>
    <row r="108" spans="5:19" s="241" customFormat="1" x14ac:dyDescent="0.2">
      <c r="E108" s="248"/>
      <c r="F108" s="280"/>
      <c r="G108" s="188"/>
      <c r="H108" s="188"/>
      <c r="I108" s="243"/>
      <c r="J108" s="188"/>
      <c r="K108" s="188"/>
      <c r="L108" s="188"/>
      <c r="P108" s="278"/>
      <c r="Q108" s="278"/>
      <c r="R108" s="278"/>
      <c r="S108" s="278"/>
    </row>
    <row r="109" spans="5:19" s="241" customFormat="1" x14ac:dyDescent="0.2">
      <c r="E109" s="248"/>
      <c r="F109" s="280"/>
      <c r="G109" s="188"/>
      <c r="H109" s="188"/>
      <c r="I109" s="243"/>
      <c r="J109" s="188"/>
      <c r="K109" s="188"/>
      <c r="L109" s="188"/>
      <c r="P109" s="278"/>
      <c r="Q109" s="278"/>
      <c r="R109" s="278"/>
      <c r="S109" s="278"/>
    </row>
    <row r="110" spans="5:19" s="241" customFormat="1" x14ac:dyDescent="0.2">
      <c r="E110" s="248"/>
      <c r="F110" s="280"/>
      <c r="G110" s="188"/>
      <c r="H110" s="188"/>
      <c r="I110" s="243"/>
      <c r="J110" s="188"/>
      <c r="K110" s="188"/>
      <c r="L110" s="188"/>
      <c r="P110" s="278"/>
      <c r="Q110" s="278"/>
      <c r="R110" s="278"/>
      <c r="S110" s="278"/>
    </row>
    <row r="111" spans="5:19" s="241" customFormat="1" x14ac:dyDescent="0.2">
      <c r="E111" s="248"/>
      <c r="F111" s="280"/>
      <c r="G111" s="188"/>
      <c r="H111" s="188"/>
      <c r="I111" s="243"/>
      <c r="J111" s="188"/>
      <c r="K111" s="188"/>
      <c r="L111" s="188"/>
      <c r="P111" s="278"/>
      <c r="Q111" s="278"/>
      <c r="R111" s="278"/>
      <c r="S111" s="278"/>
    </row>
    <row r="112" spans="5:19" s="241" customFormat="1" x14ac:dyDescent="0.2">
      <c r="E112" s="248"/>
      <c r="F112" s="280"/>
      <c r="G112" s="188"/>
      <c r="H112" s="188"/>
      <c r="I112" s="243"/>
      <c r="J112" s="188"/>
      <c r="K112" s="188"/>
      <c r="L112" s="188"/>
      <c r="P112" s="278"/>
      <c r="Q112" s="278"/>
      <c r="R112" s="278"/>
      <c r="S112" s="278"/>
    </row>
    <row r="113" spans="5:19" s="241" customFormat="1" x14ac:dyDescent="0.2">
      <c r="E113" s="248"/>
      <c r="F113" s="280"/>
      <c r="G113" s="188"/>
      <c r="H113" s="188"/>
      <c r="I113" s="243"/>
      <c r="J113" s="188"/>
      <c r="K113" s="188"/>
      <c r="L113" s="188"/>
      <c r="P113" s="278"/>
      <c r="Q113" s="278"/>
      <c r="R113" s="278"/>
      <c r="S113" s="278"/>
    </row>
    <row r="114" spans="5:19" s="241" customFormat="1" x14ac:dyDescent="0.2">
      <c r="E114" s="248"/>
      <c r="F114" s="280"/>
      <c r="G114" s="188"/>
      <c r="H114" s="188"/>
      <c r="I114" s="243"/>
      <c r="J114" s="188"/>
      <c r="K114" s="188"/>
      <c r="L114" s="188"/>
      <c r="P114" s="278"/>
      <c r="Q114" s="278"/>
      <c r="R114" s="278"/>
      <c r="S114" s="278"/>
    </row>
    <row r="115" spans="5:19" s="241" customFormat="1" x14ac:dyDescent="0.2">
      <c r="E115" s="248"/>
      <c r="F115" s="280"/>
      <c r="G115" s="188"/>
      <c r="H115" s="188"/>
      <c r="I115" s="243"/>
      <c r="J115" s="188"/>
      <c r="K115" s="188"/>
      <c r="L115" s="188"/>
      <c r="P115" s="278"/>
      <c r="Q115" s="278"/>
      <c r="R115" s="278"/>
      <c r="S115" s="278"/>
    </row>
    <row r="116" spans="5:19" s="241" customFormat="1" x14ac:dyDescent="0.2">
      <c r="E116" s="248"/>
      <c r="F116" s="280"/>
      <c r="G116" s="188"/>
      <c r="H116" s="188"/>
      <c r="I116" s="243"/>
      <c r="J116" s="188"/>
      <c r="K116" s="188"/>
      <c r="L116" s="188"/>
      <c r="P116" s="278"/>
      <c r="Q116" s="278"/>
      <c r="R116" s="278"/>
      <c r="S116" s="278"/>
    </row>
    <row r="117" spans="5:19" s="241" customFormat="1" x14ac:dyDescent="0.2">
      <c r="E117" s="248"/>
      <c r="F117" s="280"/>
      <c r="G117" s="188"/>
      <c r="H117" s="188"/>
      <c r="I117" s="243"/>
      <c r="J117" s="188"/>
      <c r="K117" s="188"/>
      <c r="L117" s="188"/>
      <c r="P117" s="278"/>
      <c r="Q117" s="278"/>
      <c r="R117" s="278"/>
      <c r="S117" s="278"/>
    </row>
    <row r="118" spans="5:19" s="241" customFormat="1" x14ac:dyDescent="0.2">
      <c r="E118" s="248"/>
      <c r="F118" s="280"/>
      <c r="G118" s="188"/>
      <c r="H118" s="188"/>
      <c r="I118" s="243"/>
      <c r="J118" s="188"/>
      <c r="K118" s="188"/>
      <c r="L118" s="188"/>
      <c r="P118" s="278"/>
      <c r="Q118" s="278"/>
      <c r="R118" s="278"/>
      <c r="S118" s="278"/>
    </row>
    <row r="119" spans="5:19" s="241" customFormat="1" x14ac:dyDescent="0.2">
      <c r="E119" s="248"/>
      <c r="F119" s="280"/>
      <c r="G119" s="188"/>
      <c r="H119" s="188"/>
      <c r="I119" s="243"/>
      <c r="J119" s="188"/>
      <c r="K119" s="188"/>
      <c r="L119" s="188"/>
      <c r="P119" s="278"/>
      <c r="Q119" s="278"/>
      <c r="R119" s="278"/>
      <c r="S119" s="278"/>
    </row>
    <row r="120" spans="5:19" s="241" customFormat="1" x14ac:dyDescent="0.2">
      <c r="E120" s="248"/>
      <c r="F120" s="280"/>
      <c r="G120" s="188"/>
      <c r="H120" s="188"/>
      <c r="I120" s="243"/>
      <c r="J120" s="188"/>
      <c r="K120" s="188"/>
      <c r="L120" s="188"/>
      <c r="P120" s="278"/>
      <c r="Q120" s="278"/>
      <c r="R120" s="278"/>
      <c r="S120" s="278"/>
    </row>
    <row r="121" spans="5:19" s="241" customFormat="1" x14ac:dyDescent="0.2">
      <c r="E121" s="248"/>
      <c r="F121" s="280"/>
      <c r="G121" s="188"/>
      <c r="H121" s="188"/>
      <c r="I121" s="243"/>
      <c r="J121" s="188"/>
      <c r="K121" s="188"/>
      <c r="L121" s="188"/>
      <c r="P121" s="278"/>
      <c r="Q121" s="278"/>
      <c r="R121" s="278"/>
      <c r="S121" s="278"/>
    </row>
    <row r="122" spans="5:19" s="241" customFormat="1" x14ac:dyDescent="0.2">
      <c r="E122" s="248"/>
      <c r="F122" s="280"/>
      <c r="G122" s="188"/>
      <c r="H122" s="188"/>
      <c r="I122" s="243"/>
      <c r="J122" s="188"/>
      <c r="K122" s="188"/>
      <c r="L122" s="188"/>
      <c r="P122" s="278"/>
      <c r="Q122" s="278"/>
      <c r="R122" s="278"/>
      <c r="S122" s="278"/>
    </row>
    <row r="123" spans="5:19" s="241" customFormat="1" x14ac:dyDescent="0.2">
      <c r="E123" s="248"/>
      <c r="F123" s="280"/>
      <c r="G123" s="188"/>
      <c r="H123" s="188"/>
      <c r="I123" s="243"/>
      <c r="J123" s="188"/>
      <c r="K123" s="188"/>
      <c r="L123" s="188"/>
      <c r="P123" s="278"/>
      <c r="Q123" s="278"/>
      <c r="R123" s="278"/>
      <c r="S123" s="278"/>
    </row>
    <row r="124" spans="5:19" s="241" customFormat="1" x14ac:dyDescent="0.2">
      <c r="E124" s="248"/>
      <c r="F124" s="280"/>
      <c r="G124" s="188"/>
      <c r="H124" s="188"/>
      <c r="I124" s="243"/>
      <c r="J124" s="188"/>
      <c r="K124" s="188"/>
      <c r="L124" s="188"/>
      <c r="P124" s="278"/>
      <c r="Q124" s="278"/>
      <c r="R124" s="278"/>
      <c r="S124" s="278"/>
    </row>
    <row r="125" spans="5:19" s="241" customFormat="1" x14ac:dyDescent="0.2">
      <c r="E125" s="248"/>
      <c r="F125" s="280"/>
      <c r="G125" s="188"/>
      <c r="H125" s="188"/>
      <c r="I125" s="243"/>
      <c r="J125" s="188"/>
      <c r="K125" s="188"/>
      <c r="L125" s="188"/>
      <c r="P125" s="278"/>
      <c r="Q125" s="278"/>
      <c r="R125" s="278"/>
      <c r="S125" s="278"/>
    </row>
    <row r="126" spans="5:19" s="241" customFormat="1" x14ac:dyDescent="0.2">
      <c r="E126" s="248"/>
      <c r="F126" s="280"/>
      <c r="G126" s="188"/>
      <c r="H126" s="188"/>
      <c r="I126" s="243"/>
      <c r="J126" s="188"/>
      <c r="K126" s="188"/>
      <c r="L126" s="188"/>
      <c r="P126" s="278"/>
      <c r="Q126" s="278"/>
      <c r="R126" s="278"/>
      <c r="S126" s="278"/>
    </row>
    <row r="127" spans="5:19" s="241" customFormat="1" x14ac:dyDescent="0.2">
      <c r="E127" s="248"/>
      <c r="F127" s="280"/>
      <c r="G127" s="188"/>
      <c r="H127" s="188"/>
      <c r="I127" s="243"/>
      <c r="J127" s="188"/>
      <c r="K127" s="188"/>
      <c r="L127" s="188"/>
      <c r="P127" s="278"/>
      <c r="Q127" s="278"/>
      <c r="R127" s="278"/>
      <c r="S127" s="278"/>
    </row>
    <row r="128" spans="5:19" s="241" customFormat="1" x14ac:dyDescent="0.2">
      <c r="E128" s="248"/>
      <c r="F128" s="280"/>
      <c r="G128" s="188"/>
      <c r="H128" s="188"/>
      <c r="I128" s="243"/>
      <c r="J128" s="188"/>
      <c r="K128" s="188"/>
      <c r="L128" s="188"/>
      <c r="P128" s="278"/>
      <c r="Q128" s="278"/>
      <c r="R128" s="278"/>
      <c r="S128" s="278"/>
    </row>
    <row r="129" spans="1:22" s="241" customFormat="1" x14ac:dyDescent="0.2">
      <c r="E129" s="248"/>
      <c r="F129" s="280"/>
      <c r="G129" s="188"/>
      <c r="H129" s="188"/>
      <c r="I129" s="243"/>
      <c r="J129" s="188"/>
      <c r="K129" s="188"/>
      <c r="L129" s="188"/>
      <c r="P129" s="278"/>
      <c r="Q129" s="278"/>
      <c r="R129" s="278"/>
      <c r="S129" s="278"/>
    </row>
    <row r="130" spans="1:22" s="241" customFormat="1" x14ac:dyDescent="0.2">
      <c r="E130" s="248"/>
      <c r="F130" s="280"/>
      <c r="G130" s="188"/>
      <c r="H130" s="188"/>
      <c r="I130" s="243"/>
      <c r="J130" s="188"/>
      <c r="K130" s="188"/>
      <c r="L130" s="188"/>
      <c r="P130" s="278"/>
      <c r="Q130" s="278"/>
      <c r="R130" s="278"/>
      <c r="S130" s="278"/>
    </row>
    <row r="131" spans="1:22" s="241" customFormat="1" x14ac:dyDescent="0.2">
      <c r="E131" s="248"/>
      <c r="F131" s="280"/>
      <c r="G131" s="188"/>
      <c r="H131" s="188"/>
      <c r="I131" s="243"/>
      <c r="J131" s="188"/>
      <c r="K131" s="188"/>
      <c r="L131" s="188"/>
      <c r="P131" s="278"/>
      <c r="Q131" s="278"/>
      <c r="R131" s="244"/>
      <c r="S131" s="244"/>
      <c r="T131" s="188"/>
      <c r="U131" s="188"/>
      <c r="V131" s="188"/>
    </row>
    <row r="132" spans="1:22" s="241" customFormat="1" x14ac:dyDescent="0.2">
      <c r="E132" s="248"/>
      <c r="F132" s="280"/>
      <c r="G132" s="188"/>
      <c r="H132" s="188"/>
      <c r="I132" s="243"/>
      <c r="J132" s="188"/>
      <c r="K132" s="188"/>
      <c r="L132" s="188"/>
      <c r="P132" s="278"/>
      <c r="Q132" s="278"/>
      <c r="R132" s="244"/>
      <c r="S132" s="244"/>
      <c r="T132" s="188"/>
      <c r="U132" s="188"/>
      <c r="V132" s="188"/>
    </row>
    <row r="133" spans="1:22" s="241" customFormat="1" x14ac:dyDescent="0.2">
      <c r="E133" s="248"/>
      <c r="F133" s="280"/>
      <c r="G133" s="188"/>
      <c r="H133" s="188"/>
      <c r="I133" s="243"/>
      <c r="J133" s="188"/>
      <c r="K133" s="188"/>
      <c r="L133" s="188"/>
      <c r="P133" s="278"/>
      <c r="Q133" s="278"/>
      <c r="R133" s="244"/>
      <c r="S133" s="244"/>
      <c r="T133" s="188"/>
      <c r="U133" s="188"/>
      <c r="V133" s="188"/>
    </row>
    <row r="134" spans="1:22" s="241" customFormat="1" x14ac:dyDescent="0.2">
      <c r="E134" s="248"/>
      <c r="F134" s="280"/>
      <c r="G134" s="188"/>
      <c r="H134" s="188"/>
      <c r="I134" s="243"/>
      <c r="J134" s="188"/>
      <c r="K134" s="188"/>
      <c r="L134" s="188"/>
      <c r="P134" s="278"/>
      <c r="Q134" s="278"/>
      <c r="R134" s="244"/>
      <c r="S134" s="244"/>
      <c r="T134" s="188"/>
      <c r="U134" s="188"/>
      <c r="V134" s="188"/>
    </row>
    <row r="135" spans="1:22" s="241" customFormat="1" x14ac:dyDescent="0.2">
      <c r="E135" s="248"/>
      <c r="F135" s="280"/>
      <c r="G135" s="188"/>
      <c r="H135" s="188"/>
      <c r="I135" s="243"/>
      <c r="J135" s="188"/>
      <c r="K135" s="188"/>
      <c r="L135" s="188"/>
      <c r="P135" s="278"/>
      <c r="Q135" s="278"/>
      <c r="R135" s="244"/>
      <c r="S135" s="244"/>
      <c r="T135" s="188"/>
      <c r="U135" s="188"/>
      <c r="V135" s="188"/>
    </row>
    <row r="136" spans="1:22" s="241" customFormat="1" x14ac:dyDescent="0.2">
      <c r="E136" s="248"/>
      <c r="F136" s="280"/>
      <c r="G136" s="188"/>
      <c r="H136" s="188"/>
      <c r="I136" s="243"/>
      <c r="J136" s="188"/>
      <c r="K136" s="188"/>
      <c r="L136" s="188"/>
      <c r="N136" s="188"/>
      <c r="O136" s="243"/>
      <c r="P136" s="289"/>
      <c r="Q136" s="244"/>
      <c r="R136" s="244"/>
      <c r="S136" s="244"/>
      <c r="T136" s="188"/>
      <c r="U136" s="188"/>
      <c r="V136" s="188"/>
    </row>
    <row r="137" spans="1:22" s="241" customFormat="1" x14ac:dyDescent="0.2">
      <c r="E137" s="248"/>
      <c r="F137" s="280"/>
      <c r="G137" s="188"/>
      <c r="H137" s="188"/>
      <c r="I137" s="243"/>
      <c r="J137" s="188"/>
      <c r="K137" s="188"/>
      <c r="L137" s="188"/>
      <c r="N137" s="188"/>
      <c r="O137" s="243"/>
      <c r="P137" s="289"/>
      <c r="Q137" s="244"/>
      <c r="R137" s="244"/>
      <c r="S137" s="244"/>
      <c r="T137" s="188"/>
      <c r="U137" s="188"/>
      <c r="V137" s="188"/>
    </row>
    <row r="138" spans="1:22" s="241" customFormat="1" x14ac:dyDescent="0.2">
      <c r="E138" s="248"/>
      <c r="F138" s="280"/>
      <c r="G138" s="188"/>
      <c r="H138" s="188"/>
      <c r="I138" s="243"/>
      <c r="J138" s="188"/>
      <c r="K138" s="188"/>
      <c r="L138" s="188"/>
      <c r="N138" s="188"/>
      <c r="O138" s="243"/>
      <c r="P138" s="289"/>
      <c r="Q138" s="244"/>
      <c r="R138" s="244"/>
      <c r="S138" s="244"/>
      <c r="T138" s="188"/>
      <c r="U138" s="188"/>
      <c r="V138" s="188"/>
    </row>
    <row r="139" spans="1:22" s="241" customFormat="1" x14ac:dyDescent="0.2">
      <c r="E139" s="248"/>
      <c r="F139" s="280"/>
      <c r="G139" s="188"/>
      <c r="H139" s="188"/>
      <c r="I139" s="243"/>
      <c r="J139" s="188"/>
      <c r="K139" s="188"/>
      <c r="L139" s="188"/>
      <c r="N139" s="188"/>
      <c r="O139" s="243"/>
      <c r="P139" s="289"/>
      <c r="Q139" s="244"/>
      <c r="R139" s="244"/>
      <c r="S139" s="244"/>
      <c r="T139" s="188"/>
      <c r="U139" s="188"/>
      <c r="V139" s="188"/>
    </row>
    <row r="140" spans="1:22" s="241" customFormat="1" x14ac:dyDescent="0.2">
      <c r="A140" s="188"/>
      <c r="B140" s="188"/>
      <c r="C140" s="290"/>
      <c r="D140" s="290"/>
      <c r="E140" s="290"/>
      <c r="F140" s="290"/>
      <c r="H140" s="278"/>
      <c r="J140" s="188"/>
      <c r="K140" s="188"/>
      <c r="L140" s="188"/>
      <c r="N140" s="188"/>
      <c r="O140" s="243"/>
      <c r="P140" s="289"/>
      <c r="Q140" s="244"/>
      <c r="R140" s="244"/>
      <c r="S140" s="244"/>
      <c r="T140" s="188"/>
      <c r="U140" s="188"/>
      <c r="V140" s="188"/>
    </row>
    <row r="141" spans="1:22" s="241" customFormat="1" x14ac:dyDescent="0.2">
      <c r="A141" s="188"/>
      <c r="B141" s="188"/>
      <c r="C141" s="290"/>
      <c r="D141" s="290"/>
      <c r="E141" s="290"/>
      <c r="F141" s="290"/>
      <c r="H141" s="278"/>
      <c r="J141" s="188"/>
      <c r="K141" s="188"/>
      <c r="L141" s="188"/>
      <c r="N141" s="188"/>
      <c r="O141" s="243"/>
      <c r="P141" s="289"/>
      <c r="Q141" s="244"/>
      <c r="R141" s="244"/>
      <c r="S141" s="244"/>
      <c r="T141" s="188"/>
      <c r="U141" s="188"/>
      <c r="V141" s="188"/>
    </row>
    <row r="142" spans="1:22" s="241" customFormat="1" x14ac:dyDescent="0.2">
      <c r="A142" s="188"/>
      <c r="B142" s="188"/>
      <c r="C142" s="290"/>
      <c r="D142" s="290"/>
      <c r="E142" s="290"/>
      <c r="F142" s="290"/>
      <c r="H142" s="278"/>
      <c r="J142" s="188"/>
      <c r="K142" s="188"/>
      <c r="L142" s="188"/>
      <c r="N142" s="188"/>
      <c r="O142" s="243"/>
      <c r="P142" s="289"/>
      <c r="Q142" s="244"/>
      <c r="R142" s="244"/>
      <c r="S142" s="244"/>
      <c r="T142" s="188"/>
      <c r="U142" s="188"/>
      <c r="V142" s="188"/>
    </row>
    <row r="143" spans="1:22" s="241" customFormat="1" x14ac:dyDescent="0.2">
      <c r="A143" s="188"/>
      <c r="B143" s="188"/>
      <c r="C143" s="290"/>
      <c r="D143" s="290"/>
      <c r="E143" s="290"/>
      <c r="F143" s="290"/>
      <c r="H143" s="278"/>
      <c r="J143" s="188"/>
      <c r="K143" s="188"/>
      <c r="L143" s="188"/>
      <c r="N143" s="188"/>
      <c r="O143" s="243"/>
      <c r="P143" s="289"/>
      <c r="Q143" s="244"/>
      <c r="R143" s="244"/>
      <c r="S143" s="244"/>
      <c r="T143" s="188"/>
      <c r="U143" s="188"/>
      <c r="V143" s="188"/>
    </row>
    <row r="144" spans="1:22" s="241" customFormat="1" x14ac:dyDescent="0.2">
      <c r="A144" s="188"/>
      <c r="B144" s="188"/>
      <c r="C144" s="290"/>
      <c r="D144" s="290"/>
      <c r="E144" s="290"/>
      <c r="F144" s="290"/>
      <c r="H144" s="278"/>
      <c r="J144" s="188"/>
      <c r="K144" s="188"/>
      <c r="L144" s="188"/>
      <c r="N144" s="188"/>
      <c r="O144" s="243"/>
      <c r="P144" s="289"/>
      <c r="Q144" s="244"/>
      <c r="R144" s="244"/>
      <c r="S144" s="244"/>
      <c r="T144" s="188"/>
      <c r="U144" s="188"/>
      <c r="V144" s="188"/>
    </row>
    <row r="145" spans="1:22" s="241" customFormat="1" x14ac:dyDescent="0.2">
      <c r="A145" s="188"/>
      <c r="B145" s="188"/>
      <c r="C145" s="290"/>
      <c r="D145" s="290"/>
      <c r="E145" s="290"/>
      <c r="F145" s="290"/>
      <c r="H145" s="278"/>
      <c r="J145" s="188"/>
      <c r="K145" s="188"/>
      <c r="L145" s="188"/>
      <c r="N145" s="188"/>
      <c r="O145" s="243"/>
      <c r="P145" s="289"/>
      <c r="Q145" s="244"/>
      <c r="R145" s="244"/>
      <c r="S145" s="244"/>
      <c r="T145" s="188"/>
      <c r="U145" s="188"/>
      <c r="V145" s="188"/>
    </row>
    <row r="146" spans="1:22" s="241" customFormat="1" x14ac:dyDescent="0.2">
      <c r="A146" s="188"/>
      <c r="B146" s="188"/>
      <c r="C146" s="290"/>
      <c r="D146" s="290"/>
      <c r="E146" s="290"/>
      <c r="F146" s="290"/>
      <c r="H146" s="278"/>
      <c r="K146" s="188"/>
      <c r="L146" s="188"/>
      <c r="N146" s="188"/>
      <c r="O146" s="243"/>
      <c r="P146" s="289"/>
      <c r="Q146" s="244"/>
      <c r="R146" s="244"/>
      <c r="S146" s="244"/>
      <c r="T146" s="188"/>
      <c r="U146" s="188"/>
      <c r="V146" s="188"/>
    </row>
    <row r="147" spans="1:22" s="241" customFormat="1" x14ac:dyDescent="0.2">
      <c r="A147" s="188"/>
      <c r="B147" s="188"/>
      <c r="C147" s="290"/>
      <c r="D147" s="290"/>
      <c r="E147" s="290"/>
      <c r="F147" s="290"/>
      <c r="H147" s="278"/>
      <c r="K147" s="188"/>
      <c r="L147" s="188"/>
      <c r="N147" s="188"/>
      <c r="O147" s="243"/>
      <c r="P147" s="289"/>
      <c r="Q147" s="244"/>
      <c r="R147" s="244"/>
      <c r="S147" s="244"/>
      <c r="T147" s="188"/>
      <c r="U147" s="188"/>
      <c r="V147" s="188"/>
    </row>
    <row r="148" spans="1:22" x14ac:dyDescent="0.2">
      <c r="K148" s="188"/>
      <c r="L148" s="188"/>
      <c r="M148" s="241"/>
    </row>
    <row r="149" spans="1:22" x14ac:dyDescent="0.2">
      <c r="L149" s="188"/>
      <c r="M149" s="241"/>
    </row>
    <row r="150" spans="1:22" x14ac:dyDescent="0.2">
      <c r="L150" s="188"/>
      <c r="M150" s="241"/>
    </row>
    <row r="151" spans="1:22" x14ac:dyDescent="0.2">
      <c r="L151" s="188"/>
    </row>
    <row r="152" spans="1:22" x14ac:dyDescent="0.2">
      <c r="L152" s="188"/>
    </row>
    <row r="153" spans="1:22" x14ac:dyDescent="0.2">
      <c r="L153" s="188"/>
    </row>
  </sheetData>
  <conditionalFormatting sqref="P6:P11 Z6:Z11">
    <cfRule type="aboveAverage" dxfId="5" priority="3" aboveAverage="0" stdDev="1"/>
    <cfRule type="aboveAverage" dxfId="4" priority="4" stdDev="1"/>
  </conditionalFormatting>
  <conditionalFormatting sqref="P45:P58 Z45:Z58 B21:B44">
    <cfRule type="aboveAverage" dxfId="3" priority="5" aboveAverage="0" stdDev="1"/>
    <cfRule type="aboveAverage" dxfId="2" priority="6" stdDev="1"/>
  </conditionalFormatting>
  <conditionalFormatting sqref="C36">
    <cfRule type="aboveAverage" dxfId="1" priority="1" aboveAverage="0" stdDev="1"/>
    <cfRule type="aboveAverage" dxfId="0" priority="2" stdDev="1"/>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5549B-2265-43A7-A088-0CB93CEA5A64}">
  <dimension ref="A1:I4"/>
  <sheetViews>
    <sheetView workbookViewId="0">
      <selection activeCell="H26" sqref="H26"/>
    </sheetView>
  </sheetViews>
  <sheetFormatPr defaultRowHeight="15" x14ac:dyDescent="0.25"/>
  <cols>
    <col min="1" max="1" width="19.5703125" customWidth="1"/>
    <col min="2" max="2" width="9.7109375" bestFit="1" customWidth="1"/>
  </cols>
  <sheetData>
    <row r="1" spans="1:9" x14ac:dyDescent="0.25">
      <c r="A1" t="s">
        <v>170</v>
      </c>
      <c r="H1" s="215" t="s">
        <v>83</v>
      </c>
      <c r="I1" s="216"/>
    </row>
    <row r="2" spans="1:9" x14ac:dyDescent="0.25">
      <c r="H2" s="225" t="s">
        <v>86</v>
      </c>
      <c r="I2" s="226"/>
    </row>
    <row r="3" spans="1:9" x14ac:dyDescent="0.25">
      <c r="A3" t="s">
        <v>164</v>
      </c>
      <c r="B3" s="432">
        <v>41872</v>
      </c>
      <c r="H3" s="229" t="s">
        <v>89</v>
      </c>
      <c r="I3" s="226">
        <f>B4</f>
        <v>2.48</v>
      </c>
    </row>
    <row r="4" spans="1:9" x14ac:dyDescent="0.25">
      <c r="A4" t="s">
        <v>165</v>
      </c>
      <c r="B4">
        <v>2.48</v>
      </c>
      <c r="H4" s="229" t="s">
        <v>91</v>
      </c>
      <c r="I4" s="226"/>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2D723-F3EA-4C42-A604-BB48757D8C18}">
  <dimension ref="A1:AD40"/>
  <sheetViews>
    <sheetView workbookViewId="0">
      <selection activeCell="A2" sqref="A2:XFD2"/>
    </sheetView>
  </sheetViews>
  <sheetFormatPr defaultRowHeight="15" x14ac:dyDescent="0.25"/>
  <cols>
    <col min="1" max="1" width="10.28515625" bestFit="1" customWidth="1"/>
    <col min="2" max="2" width="12.85546875" customWidth="1"/>
    <col min="3" max="3" width="11.28515625" customWidth="1"/>
    <col min="4" max="4" width="13.42578125" customWidth="1"/>
    <col min="5" max="5" width="10.7109375" bestFit="1" customWidth="1"/>
    <col min="6" max="6" width="8.7109375" customWidth="1"/>
    <col min="7" max="7" width="9.85546875" customWidth="1"/>
    <col min="8" max="8" width="6.42578125" customWidth="1"/>
    <col min="9" max="9" width="9.7109375" customWidth="1"/>
    <col min="12" max="12" width="11.42578125" customWidth="1"/>
    <col min="20" max="20" width="13.140625" bestFit="1" customWidth="1"/>
    <col min="21" max="21" width="9" customWidth="1"/>
    <col min="24" max="24" width="8.7109375" customWidth="1"/>
    <col min="25" max="25" width="39.28515625" customWidth="1"/>
  </cols>
  <sheetData>
    <row r="1" spans="1:30" ht="16.5" thickBot="1" x14ac:dyDescent="0.3">
      <c r="A1" s="1" t="s">
        <v>0</v>
      </c>
    </row>
    <row r="2" spans="1:30" x14ac:dyDescent="0.25">
      <c r="A2" s="87"/>
      <c r="B2" s="496"/>
      <c r="C2" s="525" t="s">
        <v>14</v>
      </c>
      <c r="D2" s="526"/>
      <c r="E2" s="526"/>
      <c r="F2" s="497"/>
      <c r="G2" s="498" t="s">
        <v>15</v>
      </c>
      <c r="H2" s="499"/>
      <c r="I2" s="499"/>
      <c r="J2" s="499"/>
      <c r="K2" s="499"/>
      <c r="L2" s="92" t="s">
        <v>16</v>
      </c>
      <c r="M2" s="505" t="s">
        <v>17</v>
      </c>
      <c r="N2" s="506"/>
      <c r="O2" s="506"/>
      <c r="P2" s="507" t="s">
        <v>18</v>
      </c>
      <c r="Q2" s="508"/>
      <c r="R2" s="508"/>
      <c r="S2" s="508"/>
      <c r="T2" s="93" t="s">
        <v>19</v>
      </c>
      <c r="U2" s="500" t="s">
        <v>20</v>
      </c>
      <c r="V2" s="435"/>
      <c r="W2" s="435"/>
      <c r="X2" s="435"/>
      <c r="Y2" s="435"/>
    </row>
    <row r="3" spans="1:30" x14ac:dyDescent="0.25">
      <c r="A3" s="94" t="s">
        <v>21</v>
      </c>
      <c r="B3" s="94" t="s">
        <v>22</v>
      </c>
      <c r="C3" s="95" t="s">
        <v>23</v>
      </c>
      <c r="D3" s="509" t="s">
        <v>24</v>
      </c>
      <c r="E3" s="510"/>
      <c r="F3" s="94" t="s">
        <v>25</v>
      </c>
      <c r="G3" s="96" t="s">
        <v>26</v>
      </c>
      <c r="H3" s="97" t="s">
        <v>27</v>
      </c>
      <c r="I3" s="97" t="s">
        <v>28</v>
      </c>
      <c r="J3" s="98"/>
      <c r="K3" s="99" t="s">
        <v>29</v>
      </c>
      <c r="L3" s="100" t="s">
        <v>30</v>
      </c>
      <c r="M3" s="100" t="s">
        <v>31</v>
      </c>
      <c r="N3" s="101" t="s">
        <v>21</v>
      </c>
      <c r="O3" s="102" t="s">
        <v>32</v>
      </c>
      <c r="P3" s="100" t="s">
        <v>33</v>
      </c>
      <c r="Q3" s="103" t="s">
        <v>34</v>
      </c>
      <c r="R3" s="104" t="s">
        <v>35</v>
      </c>
      <c r="S3" s="101" t="s">
        <v>36</v>
      </c>
      <c r="T3" s="105" t="s">
        <v>37</v>
      </c>
      <c r="U3" s="501" t="s">
        <v>37</v>
      </c>
      <c r="V3" s="435"/>
      <c r="W3" s="435"/>
      <c r="X3" s="435"/>
      <c r="Y3" s="435"/>
    </row>
    <row r="4" spans="1:30" ht="15.75" thickBot="1" x14ac:dyDescent="0.3">
      <c r="A4" s="94" t="s">
        <v>38</v>
      </c>
      <c r="B4" s="94"/>
      <c r="C4" s="106" t="s">
        <v>39</v>
      </c>
      <c r="D4" s="107" t="s">
        <v>40</v>
      </c>
      <c r="E4" s="107" t="s">
        <v>41</v>
      </c>
      <c r="F4" s="108"/>
      <c r="G4" s="109" t="s">
        <v>42</v>
      </c>
      <c r="H4" s="110" t="s">
        <v>42</v>
      </c>
      <c r="I4" s="110" t="s">
        <v>42</v>
      </c>
      <c r="J4" s="98"/>
      <c r="K4" s="99"/>
      <c r="L4" s="109" t="s">
        <v>43</v>
      </c>
      <c r="M4" s="111" t="s">
        <v>44</v>
      </c>
      <c r="N4" s="112" t="s">
        <v>45</v>
      </c>
      <c r="O4" s="112" t="s">
        <v>46</v>
      </c>
      <c r="P4" s="113" t="s">
        <v>42</v>
      </c>
      <c r="Q4" s="114" t="s">
        <v>44</v>
      </c>
      <c r="R4" s="115" t="s">
        <v>47</v>
      </c>
      <c r="S4" s="112" t="s">
        <v>48</v>
      </c>
      <c r="T4" s="116" t="s">
        <v>49</v>
      </c>
      <c r="U4" s="502" t="s">
        <v>50</v>
      </c>
      <c r="V4" s="435"/>
      <c r="W4" s="435"/>
      <c r="X4" s="435"/>
      <c r="Y4" s="435"/>
    </row>
    <row r="5" spans="1:30" ht="34.5" thickBot="1" x14ac:dyDescent="0.3">
      <c r="A5" s="117"/>
      <c r="B5" s="117" t="s">
        <v>51</v>
      </c>
      <c r="C5" s="118" t="s">
        <v>52</v>
      </c>
      <c r="D5" s="119" t="s">
        <v>52</v>
      </c>
      <c r="E5" s="119" t="s">
        <v>52</v>
      </c>
      <c r="F5" s="120"/>
      <c r="G5" s="121" t="s">
        <v>52</v>
      </c>
      <c r="H5" s="122" t="s">
        <v>52</v>
      </c>
      <c r="I5" s="122" t="s">
        <v>53</v>
      </c>
      <c r="J5" s="503" t="s">
        <v>54</v>
      </c>
      <c r="K5" s="124"/>
      <c r="L5" s="121" t="s">
        <v>52</v>
      </c>
      <c r="M5" s="125" t="s">
        <v>55</v>
      </c>
      <c r="N5" s="126" t="s">
        <v>56</v>
      </c>
      <c r="O5" s="126" t="s">
        <v>56</v>
      </c>
      <c r="P5" s="125" t="s">
        <v>52</v>
      </c>
      <c r="Q5" s="127" t="s">
        <v>55</v>
      </c>
      <c r="R5" s="128" t="s">
        <v>57</v>
      </c>
      <c r="S5" s="126" t="s">
        <v>56</v>
      </c>
      <c r="T5" s="129" t="s">
        <v>56</v>
      </c>
      <c r="U5" s="504" t="s">
        <v>56</v>
      </c>
      <c r="V5" s="435"/>
      <c r="W5" s="435"/>
      <c r="X5" s="435"/>
      <c r="Y5" s="435"/>
    </row>
    <row r="6" spans="1:30" x14ac:dyDescent="0.25">
      <c r="A6" s="85" t="s">
        <v>7</v>
      </c>
      <c r="B6" s="75">
        <v>41487</v>
      </c>
      <c r="C6" s="4">
        <f>9-2.83</f>
        <v>6.17</v>
      </c>
      <c r="D6" s="5">
        <v>0</v>
      </c>
      <c r="E6" s="6">
        <v>0</v>
      </c>
      <c r="F6" s="7" t="s">
        <v>2</v>
      </c>
      <c r="G6" s="8">
        <v>1.4</v>
      </c>
      <c r="H6" s="9" t="s">
        <v>3</v>
      </c>
      <c r="I6" s="9" t="s">
        <v>3</v>
      </c>
      <c r="J6" s="77" t="s">
        <v>3</v>
      </c>
      <c r="K6" s="10">
        <v>1</v>
      </c>
      <c r="L6" s="8">
        <f>C6</f>
        <v>6.17</v>
      </c>
      <c r="M6" s="11"/>
      <c r="N6" s="12"/>
      <c r="O6" s="9"/>
      <c r="P6" s="8">
        <f>G6</f>
        <v>1.4</v>
      </c>
      <c r="Q6" s="9">
        <f>Q19</f>
        <v>0.43666666666666698</v>
      </c>
      <c r="R6" s="10" t="s">
        <v>4</v>
      </c>
      <c r="S6" s="12">
        <f>((P6*Q6)-(P6*(1-(Q6/0.9)))*0.07)</f>
        <v>0.56088148148148187</v>
      </c>
      <c r="T6" s="12"/>
      <c r="U6" s="12">
        <f>S6</f>
        <v>0.56088148148148187</v>
      </c>
      <c r="V6" s="435"/>
      <c r="W6" s="435"/>
      <c r="X6" s="435"/>
      <c r="Y6" s="435"/>
    </row>
    <row r="7" spans="1:30" x14ac:dyDescent="0.25">
      <c r="A7" s="14" t="s">
        <v>12</v>
      </c>
      <c r="B7" s="15">
        <v>41487</v>
      </c>
      <c r="C7" s="86">
        <f>6-1.83</f>
        <v>4.17</v>
      </c>
      <c r="D7" s="79">
        <v>0</v>
      </c>
      <c r="E7" s="80">
        <v>0</v>
      </c>
      <c r="F7" s="17" t="s">
        <v>2</v>
      </c>
      <c r="G7" s="22">
        <v>1.6</v>
      </c>
      <c r="H7" s="20" t="s">
        <v>3</v>
      </c>
      <c r="I7" s="20" t="s">
        <v>3</v>
      </c>
      <c r="J7" s="21" t="s">
        <v>3</v>
      </c>
      <c r="K7" s="81">
        <v>1</v>
      </c>
      <c r="L7" s="22">
        <f>C7</f>
        <v>4.17</v>
      </c>
      <c r="M7" s="11"/>
      <c r="N7" s="13"/>
      <c r="O7" s="20"/>
      <c r="P7" s="22">
        <f>G7</f>
        <v>1.6</v>
      </c>
      <c r="Q7" s="20">
        <f>Q19</f>
        <v>0.43666666666666698</v>
      </c>
      <c r="R7" s="81" t="s">
        <v>4</v>
      </c>
      <c r="S7" s="13">
        <f>((P7*Q7)-(P7*(1-(Q7/0.9)))*0.07)</f>
        <v>0.64100740740740803</v>
      </c>
      <c r="T7" s="13"/>
      <c r="U7" s="13">
        <f>S7</f>
        <v>0.64100740740740803</v>
      </c>
      <c r="V7" s="435"/>
      <c r="W7" s="435"/>
      <c r="X7" s="435"/>
      <c r="Y7" s="435"/>
      <c r="Z7" s="435"/>
      <c r="AA7" s="435"/>
      <c r="AB7" s="435"/>
      <c r="AC7" s="435"/>
      <c r="AD7" s="435"/>
    </row>
    <row r="8" spans="1:30" x14ac:dyDescent="0.25">
      <c r="A8" s="2" t="s">
        <v>1</v>
      </c>
      <c r="B8" s="3">
        <v>41487</v>
      </c>
      <c r="C8" s="4">
        <f>(30/3.2808)-3.38</f>
        <v>5.7641111923920993</v>
      </c>
      <c r="D8" s="5">
        <v>0</v>
      </c>
      <c r="E8" s="6">
        <v>0</v>
      </c>
      <c r="F8" s="7" t="s">
        <v>2</v>
      </c>
      <c r="G8" s="8">
        <v>1.55</v>
      </c>
      <c r="H8" s="9" t="s">
        <v>3</v>
      </c>
      <c r="I8" s="9" t="s">
        <v>3</v>
      </c>
      <c r="J8" s="9">
        <v>7.0000000000000284E-2</v>
      </c>
      <c r="K8" s="10">
        <v>1</v>
      </c>
      <c r="L8" s="8">
        <f>C8</f>
        <v>5.7641111923920993</v>
      </c>
      <c r="M8" s="11"/>
      <c r="N8" s="12"/>
      <c r="O8" s="9"/>
      <c r="P8" s="8">
        <f>G8</f>
        <v>1.55</v>
      </c>
      <c r="Q8" s="9">
        <f>Q19</f>
        <v>0.43666666666666698</v>
      </c>
      <c r="R8" s="10" t="s">
        <v>4</v>
      </c>
      <c r="S8" s="12">
        <f>((P8*Q8)-(P8*(1-(Q8/0.9)))*0.07)</f>
        <v>0.62097592592592643</v>
      </c>
      <c r="T8" s="13">
        <v>-0.44402407407407396</v>
      </c>
      <c r="U8" s="13">
        <f>S8</f>
        <v>0.62097592592592643</v>
      </c>
      <c r="V8" s="435"/>
      <c r="W8" s="435"/>
      <c r="X8" s="435"/>
      <c r="Y8" s="435"/>
      <c r="Z8" s="435"/>
      <c r="AA8" s="435"/>
      <c r="AB8" s="435"/>
      <c r="AC8" s="435"/>
      <c r="AD8" s="435"/>
    </row>
    <row r="9" spans="1:30" x14ac:dyDescent="0.25">
      <c r="A9" s="14" t="s">
        <v>5</v>
      </c>
      <c r="B9" s="15">
        <v>41487</v>
      </c>
      <c r="C9" s="16">
        <f>(30/3.2808)-3.63</f>
        <v>5.5141111923920993</v>
      </c>
      <c r="D9" s="17">
        <v>0</v>
      </c>
      <c r="E9" s="18">
        <v>0</v>
      </c>
      <c r="F9" s="17" t="s">
        <v>2</v>
      </c>
      <c r="G9" s="19">
        <v>1.25</v>
      </c>
      <c r="H9" s="20">
        <f>AVERAGE(1.83,1.8)</f>
        <v>1.8149999999999999</v>
      </c>
      <c r="I9" s="20">
        <f>AVERAGE(1.25,1.83,1.8)</f>
        <v>1.6266666666666667</v>
      </c>
      <c r="J9" s="20">
        <v>-0.49000000000000021</v>
      </c>
      <c r="K9" s="21">
        <v>3</v>
      </c>
      <c r="L9" s="22">
        <f>C9</f>
        <v>5.5141111923920993</v>
      </c>
      <c r="M9" s="11"/>
      <c r="N9" s="13"/>
      <c r="O9" s="20"/>
      <c r="P9" s="22">
        <f>I9</f>
        <v>1.6266666666666667</v>
      </c>
      <c r="Q9" s="20">
        <f>Q19</f>
        <v>0.43666666666666698</v>
      </c>
      <c r="R9" s="21" t="s">
        <v>4</v>
      </c>
      <c r="S9" s="13">
        <f>((P9*Q9)-(P9*(1-(Q9/0.9)))*0.07)</f>
        <v>0.65169086419753142</v>
      </c>
      <c r="T9" s="13">
        <v>-0.21830913580246902</v>
      </c>
      <c r="U9" s="13">
        <f>S9</f>
        <v>0.65169086419753142</v>
      </c>
      <c r="V9" s="435"/>
      <c r="W9" s="435"/>
      <c r="X9" s="435"/>
      <c r="Y9" s="435"/>
      <c r="Z9" s="435"/>
      <c r="AA9" s="435"/>
      <c r="AB9" s="435"/>
      <c r="AC9" s="435"/>
      <c r="AD9" s="435"/>
    </row>
    <row r="10" spans="1:30" ht="15.75" thickBot="1" x14ac:dyDescent="0.3">
      <c r="A10" s="23" t="s">
        <v>6</v>
      </c>
      <c r="B10" s="24">
        <v>41487</v>
      </c>
      <c r="C10" s="25">
        <f>(30/3.2808)-3.76</f>
        <v>5.3841111923920995</v>
      </c>
      <c r="D10" s="26">
        <v>0</v>
      </c>
      <c r="E10" s="27">
        <v>0</v>
      </c>
      <c r="F10" s="28" t="s">
        <v>2</v>
      </c>
      <c r="G10" s="29">
        <v>1.32</v>
      </c>
      <c r="H10" s="30">
        <f>AVERAGE(1.83,1.84)</f>
        <v>1.835</v>
      </c>
      <c r="I10" s="30">
        <f>AVERAGE(1.32,1.83,1.84)</f>
        <v>1.6633333333333333</v>
      </c>
      <c r="J10" s="31">
        <v>-1.0000000000000675E-2</v>
      </c>
      <c r="K10" s="32">
        <v>3</v>
      </c>
      <c r="L10" s="29">
        <f>C10</f>
        <v>5.3841111923920995</v>
      </c>
      <c r="M10" s="11"/>
      <c r="N10" s="30"/>
      <c r="O10" s="31"/>
      <c r="P10" s="29">
        <f>I10</f>
        <v>1.6633333333333333</v>
      </c>
      <c r="Q10" s="31">
        <f>Q19</f>
        <v>0.43666666666666698</v>
      </c>
      <c r="R10" s="32" t="s">
        <v>4</v>
      </c>
      <c r="S10" s="30">
        <f>((P10*Q10)-(P10*(1-(Q10/0.9)))*0.07)</f>
        <v>0.66638061728395115</v>
      </c>
      <c r="T10" s="13">
        <v>-0.32886938271604926</v>
      </c>
      <c r="U10" s="13">
        <f>S10</f>
        <v>0.66638061728395115</v>
      </c>
      <c r="V10" s="435"/>
      <c r="W10" s="435"/>
      <c r="X10" s="435"/>
      <c r="Y10" s="435"/>
      <c r="Z10" s="435"/>
      <c r="AA10" s="435"/>
      <c r="AB10" s="435"/>
      <c r="AC10" s="435"/>
      <c r="AD10" s="435"/>
    </row>
    <row r="11" spans="1:30" x14ac:dyDescent="0.25">
      <c r="A11" s="33" t="s">
        <v>7</v>
      </c>
      <c r="B11" s="34">
        <v>41797</v>
      </c>
      <c r="C11" s="35">
        <f>SIN(RADIANS(80))*(9-0.52)</f>
        <v>8.3511697455435243</v>
      </c>
      <c r="D11" s="36">
        <v>0</v>
      </c>
      <c r="E11" s="37">
        <v>0</v>
      </c>
      <c r="F11" s="38" t="s">
        <v>8</v>
      </c>
      <c r="G11" s="39">
        <v>2.8</v>
      </c>
      <c r="H11" s="40" t="s">
        <v>3</v>
      </c>
      <c r="I11" s="41" t="s">
        <v>3</v>
      </c>
      <c r="J11" s="42">
        <v>-0.61883025445647544</v>
      </c>
      <c r="K11" s="43">
        <v>1</v>
      </c>
      <c r="L11" s="39">
        <f>L6</f>
        <v>6.17</v>
      </c>
      <c r="M11" s="44"/>
      <c r="N11" s="45"/>
      <c r="O11" s="45"/>
      <c r="P11" s="39">
        <f>G11</f>
        <v>2.8</v>
      </c>
      <c r="Q11" s="41">
        <f>AVERAGE(Q14,Q12)</f>
        <v>0.41000387087905732</v>
      </c>
      <c r="R11" s="41" t="s">
        <v>4</v>
      </c>
      <c r="S11" s="46">
        <f>P11*Q11</f>
        <v>1.1480108384613603</v>
      </c>
      <c r="T11" s="39">
        <f>S11</f>
        <v>1.1480108384613603</v>
      </c>
      <c r="U11" s="47" t="s">
        <v>3</v>
      </c>
      <c r="V11" s="435"/>
      <c r="W11" s="435"/>
      <c r="X11" s="435"/>
      <c r="Y11" s="435"/>
      <c r="Z11" s="435"/>
      <c r="AA11" s="435"/>
      <c r="AB11" s="435"/>
      <c r="AC11" s="435"/>
      <c r="AD11" s="435"/>
    </row>
    <row r="12" spans="1:30" x14ac:dyDescent="0.25">
      <c r="A12" s="48" t="str">
        <f>A7</f>
        <v>10-K17-6M</v>
      </c>
      <c r="B12" s="49">
        <v>41797</v>
      </c>
      <c r="C12" s="50" t="s">
        <v>9</v>
      </c>
      <c r="D12" s="51">
        <v>0</v>
      </c>
      <c r="E12" s="52">
        <v>0</v>
      </c>
      <c r="F12" s="53" t="s">
        <v>8</v>
      </c>
      <c r="G12" s="54">
        <v>2.73</v>
      </c>
      <c r="H12" s="55">
        <f>AVERAGE(2.69,3.1,3.15,3.23,2.72,2.93,2.69,2.81,3.17)</f>
        <v>2.9433333333333334</v>
      </c>
      <c r="I12" s="56">
        <f>AVERAGE(2.73,2.69,3.1,3.15,3.23,2.72,2.93,2.69,2.81,3.17)</f>
        <v>2.9219999999999997</v>
      </c>
      <c r="J12" s="57" t="s">
        <v>10</v>
      </c>
      <c r="K12" s="58">
        <v>10</v>
      </c>
      <c r="L12" s="54">
        <f>L7</f>
        <v>4.17</v>
      </c>
      <c r="M12" s="44"/>
      <c r="N12" s="59"/>
      <c r="O12" s="59"/>
      <c r="P12" s="54">
        <f>I12</f>
        <v>2.9219999999999997</v>
      </c>
      <c r="Q12" s="55">
        <v>0.37333333333333302</v>
      </c>
      <c r="R12" s="55" t="s">
        <v>11</v>
      </c>
      <c r="S12" s="56">
        <f>P12*Q12</f>
        <v>1.090879999999999</v>
      </c>
      <c r="T12" s="54">
        <f>S12</f>
        <v>1.090879999999999</v>
      </c>
      <c r="U12" s="60" t="s">
        <v>3</v>
      </c>
      <c r="V12" s="435"/>
      <c r="W12" s="435"/>
      <c r="X12" s="435"/>
      <c r="Y12" s="435"/>
      <c r="Z12" s="435"/>
      <c r="AA12" s="435"/>
      <c r="AB12" s="435"/>
      <c r="AC12" s="435"/>
      <c r="AD12" s="435"/>
    </row>
    <row r="13" spans="1:30" s="371" customFormat="1" x14ac:dyDescent="0.25">
      <c r="A13" s="358" t="s">
        <v>1</v>
      </c>
      <c r="B13" s="359">
        <v>41797</v>
      </c>
      <c r="C13" s="360">
        <f>SIN(RADIANS(80))*((30/3.2808)-0.7)</f>
        <v>8.3158261695649003</v>
      </c>
      <c r="D13" s="361">
        <v>0</v>
      </c>
      <c r="E13" s="362">
        <v>0</v>
      </c>
      <c r="F13" s="363" t="s">
        <v>8</v>
      </c>
      <c r="G13" s="364">
        <v>3.2</v>
      </c>
      <c r="H13" s="365" t="s">
        <v>3</v>
      </c>
      <c r="I13" s="365" t="s">
        <v>3</v>
      </c>
      <c r="J13" s="365">
        <v>-0.64828502282719924</v>
      </c>
      <c r="K13" s="366">
        <v>1</v>
      </c>
      <c r="L13" s="364">
        <f>L8</f>
        <v>5.7641111923920993</v>
      </c>
      <c r="M13" s="367"/>
      <c r="N13" s="368"/>
      <c r="O13" s="368"/>
      <c r="P13" s="364">
        <f>G13</f>
        <v>3.2</v>
      </c>
      <c r="Q13" s="365">
        <f>AVERAGE(Q12,Q14)</f>
        <v>0.41000387087905732</v>
      </c>
      <c r="R13" s="369" t="s">
        <v>4</v>
      </c>
      <c r="S13" s="369">
        <f>P13*Q13</f>
        <v>1.3120123868129836</v>
      </c>
      <c r="T13" s="364">
        <f>S13</f>
        <v>1.3120123868129836</v>
      </c>
      <c r="U13" s="370" t="s">
        <v>3</v>
      </c>
      <c r="V13" s="435"/>
      <c r="W13" s="435"/>
      <c r="X13" s="435"/>
      <c r="Y13" s="435"/>
      <c r="Z13" s="435"/>
      <c r="AA13" s="435"/>
      <c r="AB13" s="435"/>
      <c r="AC13" s="435"/>
      <c r="AD13" s="435"/>
    </row>
    <row r="14" spans="1:30" x14ac:dyDescent="0.25">
      <c r="A14" s="48" t="s">
        <v>5</v>
      </c>
      <c r="B14" s="49">
        <v>41797</v>
      </c>
      <c r="C14" s="50">
        <f>SIN(RADIANS(80))*((30/3.2808)-1.8)</f>
        <v>7.2325376412514712</v>
      </c>
      <c r="D14" s="51">
        <v>0</v>
      </c>
      <c r="E14" s="52">
        <v>0</v>
      </c>
      <c r="F14" s="53" t="s">
        <v>8</v>
      </c>
      <c r="G14" s="54">
        <v>3.08</v>
      </c>
      <c r="H14" s="55">
        <f>AVERAGE(3.1,3.04,3.2,3.04,3.05,3.09,3.07,3.22,3.13)</f>
        <v>3.1044444444444443</v>
      </c>
      <c r="I14" s="56">
        <f>AVERAGE(3.08,3.1,3.04,3.2,3.04,3.05,3.09,3.07,3.22,3.13)</f>
        <v>3.1019999999999994</v>
      </c>
      <c r="J14" s="57">
        <v>-1.3615735511406282</v>
      </c>
      <c r="K14" s="58">
        <v>10</v>
      </c>
      <c r="L14" s="54">
        <f>L9</f>
        <v>5.5141111923920993</v>
      </c>
      <c r="M14" s="44"/>
      <c r="N14" s="59"/>
      <c r="O14" s="59"/>
      <c r="P14" s="54">
        <f>I14</f>
        <v>3.1019999999999994</v>
      </c>
      <c r="Q14" s="55">
        <v>0.44667440842478157</v>
      </c>
      <c r="R14" s="55" t="s">
        <v>11</v>
      </c>
      <c r="S14" s="56">
        <f>P14*Q14</f>
        <v>1.3855840149336722</v>
      </c>
      <c r="T14" s="54">
        <f>S14</f>
        <v>1.3855840149336722</v>
      </c>
      <c r="U14" s="60" t="s">
        <v>3</v>
      </c>
      <c r="V14" s="435"/>
      <c r="W14" s="435"/>
      <c r="X14" s="435"/>
      <c r="Y14" s="435"/>
      <c r="Z14" s="435"/>
      <c r="AA14" s="435"/>
      <c r="AB14" s="435"/>
      <c r="AC14" s="435"/>
      <c r="AD14" s="435"/>
    </row>
    <row r="15" spans="1:30" ht="15.75" thickBot="1" x14ac:dyDescent="0.3">
      <c r="A15" s="62" t="s">
        <v>6</v>
      </c>
      <c r="B15" s="63">
        <v>41797</v>
      </c>
      <c r="C15" s="64">
        <f>(30/3.2808)-1.12</f>
        <v>8.0241111923920982</v>
      </c>
      <c r="D15" s="65">
        <v>0</v>
      </c>
      <c r="E15" s="66">
        <v>0</v>
      </c>
      <c r="F15" s="67" t="s">
        <v>8</v>
      </c>
      <c r="G15" s="68">
        <v>3.03</v>
      </c>
      <c r="H15" s="69" t="s">
        <v>3</v>
      </c>
      <c r="I15" s="69" t="s">
        <v>3</v>
      </c>
      <c r="J15" s="70">
        <v>-0.39000000000000057</v>
      </c>
      <c r="K15" s="71">
        <v>1</v>
      </c>
      <c r="L15" s="68">
        <f>L10</f>
        <v>5.3841111923920995</v>
      </c>
      <c r="M15" s="44"/>
      <c r="N15" s="72"/>
      <c r="O15" s="72"/>
      <c r="P15" s="68">
        <f>G15</f>
        <v>3.03</v>
      </c>
      <c r="Q15" s="69">
        <f>AVERAGE(Q14,Q12)</f>
        <v>0.41000387087905732</v>
      </c>
      <c r="R15" s="73" t="s">
        <v>4</v>
      </c>
      <c r="S15" s="73">
        <f>P15*Q15</f>
        <v>1.2423117287635437</v>
      </c>
      <c r="T15" s="68">
        <f>S15</f>
        <v>1.2423117287635437</v>
      </c>
      <c r="U15" s="74" t="s">
        <v>3</v>
      </c>
      <c r="V15" s="435"/>
      <c r="W15" s="435"/>
      <c r="X15" s="435"/>
      <c r="Y15" s="435"/>
      <c r="Z15" s="435"/>
      <c r="AA15" s="435"/>
      <c r="AB15" s="435"/>
      <c r="AC15" s="435"/>
      <c r="AD15" s="435"/>
    </row>
    <row r="16" spans="1:30" x14ac:dyDescent="0.25">
      <c r="A16" s="2" t="s">
        <v>7</v>
      </c>
      <c r="B16" s="75">
        <v>41872</v>
      </c>
      <c r="C16" s="76">
        <f>9-1.57</f>
        <v>7.43</v>
      </c>
      <c r="D16" s="5">
        <v>0</v>
      </c>
      <c r="E16" s="6">
        <v>0</v>
      </c>
      <c r="F16" s="7" t="s">
        <v>2</v>
      </c>
      <c r="G16" s="11">
        <v>2.0499999999999998</v>
      </c>
      <c r="H16" s="9" t="s">
        <v>3</v>
      </c>
      <c r="I16" s="9" t="s">
        <v>3</v>
      </c>
      <c r="J16" s="9">
        <v>-0.79</v>
      </c>
      <c r="K16" s="10">
        <v>1</v>
      </c>
      <c r="L16" s="11">
        <f t="shared" ref="L16:L20" si="0">C16</f>
        <v>7.43</v>
      </c>
      <c r="M16" s="11">
        <f>M29</f>
        <v>0</v>
      </c>
      <c r="N16" s="12">
        <f t="shared" ref="N16:N20" si="1">L16*M16</f>
        <v>0</v>
      </c>
      <c r="O16" s="9">
        <f>N16-N11</f>
        <v>0</v>
      </c>
      <c r="P16" s="8">
        <f>G16</f>
        <v>2.0499999999999998</v>
      </c>
      <c r="Q16" s="9">
        <f>Q19</f>
        <v>0.43666666666666698</v>
      </c>
      <c r="R16" s="77" t="s">
        <v>4</v>
      </c>
      <c r="S16" s="12">
        <f>((P16*Q16)-(P16*(1-(Q16/0.9)))*0.07)</f>
        <v>0.82129074074074138</v>
      </c>
      <c r="T16" s="8">
        <f>-S16</f>
        <v>-0.82129074074074138</v>
      </c>
      <c r="U16" s="8">
        <f>T16+T11</f>
        <v>0.32672009772061894</v>
      </c>
      <c r="V16" s="435"/>
      <c r="W16" s="435"/>
      <c r="X16" s="435"/>
      <c r="Y16" s="435"/>
      <c r="Z16" s="435"/>
      <c r="AA16" s="435"/>
      <c r="AB16" s="435"/>
      <c r="AC16" s="435"/>
      <c r="AD16" s="435"/>
    </row>
    <row r="17" spans="1:30" x14ac:dyDescent="0.25">
      <c r="A17" s="14" t="s">
        <v>12</v>
      </c>
      <c r="B17" s="78">
        <v>41872</v>
      </c>
      <c r="C17" s="16">
        <f>6-0.63</f>
        <v>5.37</v>
      </c>
      <c r="D17" s="79">
        <v>0</v>
      </c>
      <c r="E17" s="80">
        <v>0</v>
      </c>
      <c r="F17" s="17" t="s">
        <v>13</v>
      </c>
      <c r="G17" s="19">
        <v>2</v>
      </c>
      <c r="H17" s="20" t="s">
        <v>3</v>
      </c>
      <c r="I17" s="20" t="s">
        <v>3</v>
      </c>
      <c r="J17" s="20">
        <v>-0.79999999999999982</v>
      </c>
      <c r="K17" s="81">
        <v>1</v>
      </c>
      <c r="L17" s="19">
        <f t="shared" si="0"/>
        <v>5.37</v>
      </c>
      <c r="M17" s="19">
        <f>M29</f>
        <v>0</v>
      </c>
      <c r="N17" s="13">
        <f t="shared" si="1"/>
        <v>0</v>
      </c>
      <c r="O17" s="20">
        <f>N17-N12</f>
        <v>0</v>
      </c>
      <c r="P17" s="22">
        <f>G17</f>
        <v>2</v>
      </c>
      <c r="Q17" s="20">
        <f>Q19</f>
        <v>0.43666666666666698</v>
      </c>
      <c r="R17" s="81" t="s">
        <v>4</v>
      </c>
      <c r="S17" s="13">
        <f>((P17*Q17)-(P17*(1-(Q17/0.9)))*0.07)</f>
        <v>0.80125925925925989</v>
      </c>
      <c r="T17" s="22">
        <f>-S17</f>
        <v>-0.80125925925925989</v>
      </c>
      <c r="U17" s="22">
        <f>T17+T12</f>
        <v>0.28962074074073907</v>
      </c>
      <c r="V17" s="435"/>
      <c r="W17" s="435"/>
      <c r="X17" s="435"/>
      <c r="Y17" s="435"/>
      <c r="Z17" s="435"/>
      <c r="AA17" s="435"/>
      <c r="AB17" s="435"/>
      <c r="AC17" s="435"/>
      <c r="AD17" s="435"/>
    </row>
    <row r="18" spans="1:30" s="371" customFormat="1" x14ac:dyDescent="0.25">
      <c r="A18" s="372" t="s">
        <v>1</v>
      </c>
      <c r="B18" s="373">
        <v>41872</v>
      </c>
      <c r="C18" s="374">
        <f>(30/3.2808)-1.76</f>
        <v>7.3841111923920995</v>
      </c>
      <c r="D18" s="375">
        <v>0</v>
      </c>
      <c r="E18" s="376">
        <v>0</v>
      </c>
      <c r="F18" s="377" t="s">
        <v>13</v>
      </c>
      <c r="G18" s="378">
        <v>2.2400000000000002</v>
      </c>
      <c r="H18" s="379" t="s">
        <v>3</v>
      </c>
      <c r="I18" s="379" t="s">
        <v>3</v>
      </c>
      <c r="J18" s="379">
        <v>-0.62000000000000011</v>
      </c>
      <c r="K18" s="380">
        <v>1</v>
      </c>
      <c r="L18" s="378">
        <f t="shared" si="0"/>
        <v>7.3841111923920995</v>
      </c>
      <c r="M18" s="378">
        <f>M29</f>
        <v>0</v>
      </c>
      <c r="N18" s="381">
        <f t="shared" si="1"/>
        <v>0</v>
      </c>
      <c r="O18" s="379">
        <f>N18-N13</f>
        <v>0</v>
      </c>
      <c r="P18" s="382">
        <f>G18</f>
        <v>2.2400000000000002</v>
      </c>
      <c r="Q18" s="379">
        <f>Q19</f>
        <v>0.43666666666666698</v>
      </c>
      <c r="R18" s="380" t="s">
        <v>4</v>
      </c>
      <c r="S18" s="381">
        <f>((P18*Q18)-(P18*(1-(Q18/0.9)))*0.07)</f>
        <v>0.89741037037037119</v>
      </c>
      <c r="T18" s="382">
        <f>-S18</f>
        <v>-0.89741037037037119</v>
      </c>
      <c r="U18" s="382">
        <f>T18+T13</f>
        <v>0.41460201644261241</v>
      </c>
      <c r="V18" s="435"/>
      <c r="W18" s="435"/>
      <c r="X18" s="435"/>
      <c r="Y18" s="435"/>
      <c r="Z18" s="435"/>
      <c r="AA18" s="435"/>
      <c r="AB18" s="435"/>
      <c r="AC18" s="435"/>
      <c r="AD18" s="435"/>
    </row>
    <row r="19" spans="1:30" x14ac:dyDescent="0.25">
      <c r="A19" s="14" t="s">
        <v>5</v>
      </c>
      <c r="B19" s="78">
        <v>41872</v>
      </c>
      <c r="C19" s="16">
        <f>(30/3.2808)-2.1</f>
        <v>7.0441111923920996</v>
      </c>
      <c r="D19" s="79">
        <v>0</v>
      </c>
      <c r="E19" s="80">
        <v>0</v>
      </c>
      <c r="F19" s="17" t="s">
        <v>13</v>
      </c>
      <c r="G19" s="19">
        <v>2.09</v>
      </c>
      <c r="H19" s="13">
        <f>AVERAGE(2.18,2.05,2.22,2.07,2,2.19,2.05,2.2,2.03)</f>
        <v>2.1100000000000003</v>
      </c>
      <c r="I19" s="13">
        <f>AVERAGE(2.09,2.18,2.05,2.22,2.07,2,2.19,2.05,2.2,2.03)</f>
        <v>2.1079999999999997</v>
      </c>
      <c r="J19" s="20">
        <v>-0.55999999999999961</v>
      </c>
      <c r="K19" s="81">
        <v>10</v>
      </c>
      <c r="L19" s="19">
        <f t="shared" si="0"/>
        <v>7.0441111923920996</v>
      </c>
      <c r="M19" s="19">
        <f>M29</f>
        <v>0</v>
      </c>
      <c r="N19" s="13">
        <f t="shared" si="1"/>
        <v>0</v>
      </c>
      <c r="O19" s="20">
        <f>N19-N14</f>
        <v>0</v>
      </c>
      <c r="P19" s="22">
        <f>I19</f>
        <v>2.1079999999999997</v>
      </c>
      <c r="Q19" s="20">
        <v>0.43666666666666698</v>
      </c>
      <c r="R19" s="21" t="s">
        <v>11</v>
      </c>
      <c r="S19" s="13">
        <f>((P19*Q19)-(P19*(1-(Q19/0.9)))*0.07)</f>
        <v>0.84452725925925975</v>
      </c>
      <c r="T19" s="22">
        <f>-S19</f>
        <v>-0.84452725925925975</v>
      </c>
      <c r="U19" s="22">
        <f>T19+T14</f>
        <v>0.54105675567441247</v>
      </c>
      <c r="V19" s="435"/>
      <c r="W19" s="435"/>
      <c r="X19" s="435"/>
      <c r="Y19" s="435"/>
      <c r="Z19" s="435"/>
      <c r="AA19" s="435"/>
      <c r="AB19" s="435"/>
      <c r="AC19" s="435"/>
      <c r="AD19" s="435"/>
    </row>
    <row r="20" spans="1:30" ht="15.75" thickBot="1" x14ac:dyDescent="0.3">
      <c r="A20" s="82" t="s">
        <v>6</v>
      </c>
      <c r="B20" s="83">
        <v>41872</v>
      </c>
      <c r="C20" s="25">
        <f>(30/3.2808)-2.07</f>
        <v>7.074111192392099</v>
      </c>
      <c r="D20" s="26">
        <v>0</v>
      </c>
      <c r="E20" s="27">
        <v>0</v>
      </c>
      <c r="F20" s="28" t="s">
        <v>13</v>
      </c>
      <c r="G20" s="84">
        <v>2.48</v>
      </c>
      <c r="H20" s="31" t="s">
        <v>3</v>
      </c>
      <c r="I20" s="31" t="s">
        <v>3</v>
      </c>
      <c r="J20" s="31">
        <v>-0.79000000000000092</v>
      </c>
      <c r="K20" s="32">
        <v>1</v>
      </c>
      <c r="L20" s="84">
        <f t="shared" si="0"/>
        <v>7.074111192392099</v>
      </c>
      <c r="M20" s="84">
        <f>M29</f>
        <v>0</v>
      </c>
      <c r="N20" s="30">
        <f t="shared" si="1"/>
        <v>0</v>
      </c>
      <c r="O20" s="31">
        <f>N20-N15</f>
        <v>0</v>
      </c>
      <c r="P20" s="29">
        <f>G20</f>
        <v>2.48</v>
      </c>
      <c r="Q20" s="31">
        <f>Q19</f>
        <v>0.43666666666666698</v>
      </c>
      <c r="R20" s="32" t="s">
        <v>4</v>
      </c>
      <c r="S20" s="30">
        <f>((P20*Q20)-(P20*(1-(Q20/0.9)))*0.07)</f>
        <v>0.99356148148148238</v>
      </c>
      <c r="T20" s="29">
        <f>-S20</f>
        <v>-0.99356148148148238</v>
      </c>
      <c r="U20" s="29">
        <f>T20+T15</f>
        <v>0.2487502472820613</v>
      </c>
      <c r="V20" s="435"/>
      <c r="W20" s="435"/>
      <c r="X20" s="435"/>
      <c r="Y20" s="435"/>
      <c r="Z20" s="435"/>
      <c r="AA20" s="435"/>
      <c r="AB20" s="435"/>
      <c r="AC20" s="435"/>
      <c r="AD20" s="435"/>
    </row>
    <row r="21" spans="1:30" x14ac:dyDescent="0.25">
      <c r="W21" s="435"/>
      <c r="X21" s="435"/>
      <c r="Y21" s="435"/>
      <c r="Z21" s="435"/>
      <c r="AA21" s="435"/>
      <c r="AB21" s="435"/>
      <c r="AC21" s="435"/>
      <c r="AD21" s="435"/>
    </row>
    <row r="22" spans="1:30" ht="16.5" thickBot="1" x14ac:dyDescent="0.3">
      <c r="A22" s="130" t="s">
        <v>58</v>
      </c>
      <c r="B22" s="131"/>
      <c r="C22" s="132"/>
      <c r="D22" s="133"/>
      <c r="E22" s="133"/>
      <c r="F22" s="134"/>
      <c r="G22" s="134"/>
      <c r="H22" s="134"/>
      <c r="I22" s="134"/>
      <c r="J22" s="135"/>
      <c r="K22" s="136"/>
      <c r="L22" s="137"/>
      <c r="M22" s="138"/>
      <c r="N22" s="137"/>
      <c r="O22" s="137"/>
      <c r="P22" s="135"/>
      <c r="Q22" s="135"/>
      <c r="R22" s="134"/>
      <c r="S22" s="135"/>
      <c r="T22" s="139"/>
      <c r="U22" s="140"/>
      <c r="V22" s="141"/>
      <c r="W22" s="141"/>
      <c r="X22" s="142"/>
      <c r="Y22" s="141"/>
    </row>
    <row r="23" spans="1:30" x14ac:dyDescent="0.25">
      <c r="A23" s="143"/>
      <c r="B23" s="144"/>
      <c r="C23" s="517" t="s">
        <v>14</v>
      </c>
      <c r="D23" s="518"/>
      <c r="E23" s="519"/>
      <c r="F23" s="144"/>
      <c r="G23" s="520" t="s">
        <v>15</v>
      </c>
      <c r="H23" s="521"/>
      <c r="I23" s="521"/>
      <c r="J23" s="521"/>
      <c r="K23" s="522"/>
      <c r="L23" s="145"/>
      <c r="M23" s="146"/>
      <c r="N23" s="147" t="s">
        <v>59</v>
      </c>
      <c r="O23" s="148"/>
      <c r="P23" s="149"/>
      <c r="Q23" s="147" t="s">
        <v>60</v>
      </c>
      <c r="R23" s="147"/>
      <c r="S23" s="148"/>
      <c r="T23" s="150" t="s">
        <v>61</v>
      </c>
      <c r="U23" s="147"/>
      <c r="V23" s="151"/>
      <c r="W23" s="151"/>
      <c r="X23" s="151"/>
      <c r="Y23" s="152"/>
    </row>
    <row r="24" spans="1:30" ht="33.75" x14ac:dyDescent="0.25">
      <c r="A24" s="143" t="s">
        <v>21</v>
      </c>
      <c r="B24" s="143" t="s">
        <v>22</v>
      </c>
      <c r="C24" s="153" t="s">
        <v>62</v>
      </c>
      <c r="D24" s="154" t="s">
        <v>63</v>
      </c>
      <c r="E24" s="155" t="s">
        <v>64</v>
      </c>
      <c r="F24" s="143" t="s">
        <v>25</v>
      </c>
      <c r="G24" s="156" t="s">
        <v>65</v>
      </c>
      <c r="H24" s="157"/>
      <c r="I24" s="157" t="s">
        <v>28</v>
      </c>
      <c r="J24" s="157"/>
      <c r="K24" s="158"/>
      <c r="L24" s="159" t="s">
        <v>66</v>
      </c>
      <c r="M24" s="146" t="s">
        <v>31</v>
      </c>
      <c r="N24" s="160" t="s">
        <v>67</v>
      </c>
      <c r="O24" s="161"/>
      <c r="P24" s="146" t="s">
        <v>33</v>
      </c>
      <c r="Q24" s="162" t="s">
        <v>34</v>
      </c>
      <c r="R24" s="160" t="s">
        <v>68</v>
      </c>
      <c r="S24" s="488" t="s">
        <v>106</v>
      </c>
      <c r="T24" s="163" t="s">
        <v>69</v>
      </c>
      <c r="U24" s="164" t="s">
        <v>70</v>
      </c>
      <c r="V24" s="164" t="s">
        <v>71</v>
      </c>
      <c r="W24" s="165" t="s">
        <v>72</v>
      </c>
      <c r="X24" s="165" t="s">
        <v>73</v>
      </c>
      <c r="Y24" s="166" t="s">
        <v>74</v>
      </c>
    </row>
    <row r="25" spans="1:30" x14ac:dyDescent="0.25">
      <c r="A25" s="143" t="s">
        <v>38</v>
      </c>
      <c r="B25" s="143"/>
      <c r="C25" s="153"/>
      <c r="D25" s="154"/>
      <c r="E25" s="155"/>
      <c r="F25" s="144"/>
      <c r="G25" s="156"/>
      <c r="H25" s="157"/>
      <c r="I25" s="157"/>
      <c r="J25" s="157"/>
      <c r="K25" s="158"/>
      <c r="L25" s="143"/>
      <c r="M25" s="146"/>
      <c r="N25" s="167" t="s">
        <v>75</v>
      </c>
      <c r="O25" s="161"/>
      <c r="P25" s="146" t="s">
        <v>42</v>
      </c>
      <c r="Q25" s="168" t="s">
        <v>44</v>
      </c>
      <c r="R25" s="167"/>
      <c r="S25" s="161"/>
      <c r="T25" s="150"/>
      <c r="U25" s="147"/>
      <c r="V25" s="147"/>
      <c r="W25" s="169"/>
      <c r="X25" s="169"/>
      <c r="Y25" s="148"/>
    </row>
    <row r="26" spans="1:30" ht="15.75" thickBot="1" x14ac:dyDescent="0.3">
      <c r="A26" s="170"/>
      <c r="B26" s="170" t="s">
        <v>51</v>
      </c>
      <c r="C26" s="171" t="s">
        <v>52</v>
      </c>
      <c r="D26" s="172" t="s">
        <v>52</v>
      </c>
      <c r="E26" s="173" t="s">
        <v>52</v>
      </c>
      <c r="F26" s="174"/>
      <c r="G26" s="175" t="s">
        <v>52</v>
      </c>
      <c r="H26" s="176"/>
      <c r="I26" s="176" t="s">
        <v>53</v>
      </c>
      <c r="J26" s="176"/>
      <c r="K26" s="177"/>
      <c r="L26" s="170" t="s">
        <v>52</v>
      </c>
      <c r="M26" s="178" t="s">
        <v>76</v>
      </c>
      <c r="N26" s="179" t="s">
        <v>52</v>
      </c>
      <c r="O26" s="180"/>
      <c r="P26" s="178" t="s">
        <v>52</v>
      </c>
      <c r="Q26" s="168" t="s">
        <v>55</v>
      </c>
      <c r="R26" s="179"/>
      <c r="S26" s="180" t="s">
        <v>111</v>
      </c>
      <c r="T26" s="182" t="s">
        <v>77</v>
      </c>
      <c r="U26" s="183" t="s">
        <v>77</v>
      </c>
      <c r="V26" s="183" t="s">
        <v>77</v>
      </c>
      <c r="W26" s="183" t="s">
        <v>77</v>
      </c>
      <c r="X26" s="183" t="s">
        <v>77</v>
      </c>
      <c r="Y26" s="184"/>
    </row>
    <row r="27" spans="1:30" s="355" customFormat="1" ht="11.25" x14ac:dyDescent="0.2">
      <c r="A27" s="314" t="s">
        <v>152</v>
      </c>
      <c r="B27" s="354">
        <v>41431</v>
      </c>
      <c r="C27" s="355">
        <v>9.14</v>
      </c>
      <c r="D27" s="355">
        <v>1.4</v>
      </c>
      <c r="E27" s="355">
        <v>7.74</v>
      </c>
      <c r="F27" s="355" t="s">
        <v>8</v>
      </c>
      <c r="G27" s="355">
        <v>3.6</v>
      </c>
      <c r="I27" s="355">
        <v>3.55</v>
      </c>
      <c r="P27" s="355">
        <v>3.55</v>
      </c>
      <c r="Q27" s="433"/>
      <c r="R27" s="355" t="s">
        <v>4</v>
      </c>
      <c r="W27" s="356" t="s">
        <v>153</v>
      </c>
      <c r="X27" s="356" t="s">
        <v>153</v>
      </c>
      <c r="Y27" s="356" t="s">
        <v>154</v>
      </c>
    </row>
    <row r="28" spans="1:30" s="187" customFormat="1" ht="11.25" x14ac:dyDescent="0.2">
      <c r="A28" s="187" t="s">
        <v>152</v>
      </c>
      <c r="B28" s="186">
        <v>41487</v>
      </c>
      <c r="C28" s="187">
        <v>9.14</v>
      </c>
      <c r="D28" s="187">
        <v>3.38</v>
      </c>
      <c r="E28" s="187">
        <v>5.7600000000000007</v>
      </c>
      <c r="F28" s="187" t="s">
        <v>79</v>
      </c>
      <c r="G28" s="187">
        <v>1.55</v>
      </c>
      <c r="N28" s="187">
        <v>1.62</v>
      </c>
      <c r="P28" s="187">
        <v>1.55</v>
      </c>
      <c r="Q28" s="434"/>
      <c r="R28" s="187" t="s">
        <v>137</v>
      </c>
      <c r="W28" s="357"/>
      <c r="X28" s="357" t="s">
        <v>155</v>
      </c>
      <c r="Y28" s="357"/>
    </row>
    <row r="29" spans="1:30" s="438" customFormat="1" ht="11.25" x14ac:dyDescent="0.2">
      <c r="A29" s="314" t="s">
        <v>152</v>
      </c>
      <c r="B29" s="437">
        <v>41797</v>
      </c>
      <c r="C29" s="438">
        <v>9.14</v>
      </c>
      <c r="D29" s="438">
        <v>0.7</v>
      </c>
      <c r="E29" s="438">
        <f>C29-D29</f>
        <v>8.4400000000000013</v>
      </c>
      <c r="F29" s="438" t="s">
        <v>8</v>
      </c>
      <c r="G29" s="438">
        <v>3.2</v>
      </c>
      <c r="L29" s="355">
        <f>E29-G29</f>
        <v>5.2400000000000011</v>
      </c>
      <c r="P29" s="438">
        <f>G29</f>
        <v>3.2</v>
      </c>
      <c r="Q29" s="436">
        <f>AVERAGE('FedSampCores13-K17B_2014.06.07'!I4, 'FedSampCores10-K17_2014.06.07'!I4)</f>
        <v>0.39541138105300394</v>
      </c>
      <c r="R29" s="438" t="s">
        <v>11</v>
      </c>
      <c r="S29" s="439">
        <f>AVERAGE('FedSampCores13-K17B_2014.06.07'!O11)</f>
        <v>0.91708575112830448</v>
      </c>
      <c r="U29" s="439">
        <f>P29*Q29</f>
        <v>1.2653164193696127</v>
      </c>
      <c r="W29" s="438">
        <f>(L29-E28)*Q28</f>
        <v>0</v>
      </c>
      <c r="Y29" s="438" t="s">
        <v>156</v>
      </c>
    </row>
    <row r="30" spans="1:30" s="440" customFormat="1" ht="11.25" x14ac:dyDescent="0.2">
      <c r="A30" s="440" t="s">
        <v>152</v>
      </c>
      <c r="B30" s="441">
        <v>41872</v>
      </c>
      <c r="C30" s="440">
        <v>9.14</v>
      </c>
      <c r="D30" s="440">
        <v>1.76</v>
      </c>
      <c r="E30" s="440">
        <f>C30-D30</f>
        <v>7.3800000000000008</v>
      </c>
      <c r="F30" s="440" t="s">
        <v>166</v>
      </c>
      <c r="G30" s="440">
        <f>'Probe13-K17A_2014.08.21'!B4</f>
        <v>2.2400000000000002</v>
      </c>
      <c r="L30" s="187">
        <f>E30-G30</f>
        <v>5.1400000000000006</v>
      </c>
      <c r="N30" s="440">
        <f>E30-E28</f>
        <v>1.62</v>
      </c>
      <c r="P30" s="440">
        <f>G30</f>
        <v>2.2400000000000002</v>
      </c>
      <c r="Q30" s="434">
        <v>0.5</v>
      </c>
      <c r="R30" s="440" t="s">
        <v>4</v>
      </c>
      <c r="T30" s="442">
        <f>V30-U29</f>
        <v>-0.45531641936961265</v>
      </c>
      <c r="V30" s="440">
        <f>Q30*N30</f>
        <v>0.81</v>
      </c>
      <c r="W30" s="440" t="s">
        <v>114</v>
      </c>
      <c r="Y30" s="440" t="s">
        <v>167</v>
      </c>
    </row>
    <row r="32" spans="1:30" ht="15.75" thickBot="1" x14ac:dyDescent="0.3"/>
    <row r="33" spans="1:9" x14ac:dyDescent="0.25">
      <c r="A33" s="511" t="s">
        <v>138</v>
      </c>
      <c r="B33" s="512"/>
      <c r="C33" s="515" t="s">
        <v>139</v>
      </c>
      <c r="D33" s="516"/>
      <c r="E33" s="328" t="s">
        <v>140</v>
      </c>
      <c r="F33" s="329"/>
      <c r="G33" s="328" t="s">
        <v>141</v>
      </c>
      <c r="H33" s="329"/>
      <c r="I33" s="330" t="s">
        <v>142</v>
      </c>
    </row>
    <row r="34" spans="1:9" x14ac:dyDescent="0.25">
      <c r="A34" s="513"/>
      <c r="B34" s="514"/>
      <c r="C34" s="331" t="s">
        <v>143</v>
      </c>
      <c r="D34" s="331" t="s">
        <v>144</v>
      </c>
      <c r="E34" s="332">
        <f>B28</f>
        <v>41487</v>
      </c>
      <c r="F34" s="333" t="s">
        <v>145</v>
      </c>
      <c r="G34" s="334">
        <f>B29</f>
        <v>41797</v>
      </c>
      <c r="H34" s="333" t="s">
        <v>145</v>
      </c>
      <c r="I34" s="335">
        <f>B30</f>
        <v>41872</v>
      </c>
    </row>
    <row r="35" spans="1:9" x14ac:dyDescent="0.25">
      <c r="A35" s="336"/>
      <c r="B35" s="346" t="s">
        <v>146</v>
      </c>
      <c r="C35" s="337">
        <f>U29</f>
        <v>1.2653164193696127</v>
      </c>
      <c r="D35" s="337" t="s">
        <v>114</v>
      </c>
      <c r="E35" s="338"/>
      <c r="F35" s="338"/>
      <c r="G35" s="339"/>
      <c r="H35" s="337"/>
      <c r="I35" s="340"/>
    </row>
    <row r="36" spans="1:9" x14ac:dyDescent="0.25">
      <c r="A36" s="336"/>
      <c r="B36" s="346" t="s">
        <v>147</v>
      </c>
      <c r="C36" s="337">
        <f>T30</f>
        <v>-0.45531641936961265</v>
      </c>
      <c r="D36" s="337"/>
      <c r="E36" s="338"/>
      <c r="F36" s="338"/>
      <c r="G36" s="339"/>
      <c r="H36" s="337"/>
      <c r="I36" s="340"/>
    </row>
    <row r="37" spans="1:9" x14ac:dyDescent="0.25">
      <c r="A37" s="336"/>
      <c r="B37" s="346" t="s">
        <v>148</v>
      </c>
      <c r="C37" s="337">
        <f>V30</f>
        <v>0.81</v>
      </c>
      <c r="D37" s="337"/>
      <c r="E37" s="338"/>
      <c r="F37" s="338"/>
      <c r="G37" s="339"/>
      <c r="H37" s="337"/>
      <c r="I37" s="340"/>
    </row>
    <row r="38" spans="1:9" x14ac:dyDescent="0.25">
      <c r="A38" s="336"/>
      <c r="B38" s="347" t="s">
        <v>149</v>
      </c>
      <c r="C38" s="337" t="str">
        <f>X27</f>
        <v>NA (new stake)</v>
      </c>
      <c r="D38" s="337"/>
      <c r="E38" s="338"/>
      <c r="F38" s="338"/>
      <c r="G38" s="337"/>
      <c r="H38" s="337"/>
      <c r="I38" s="340"/>
    </row>
    <row r="39" spans="1:9" x14ac:dyDescent="0.25">
      <c r="A39" s="336"/>
      <c r="B39" s="348" t="s">
        <v>150</v>
      </c>
      <c r="C39" s="337" t="str">
        <f>W27</f>
        <v>NA (new stake)</v>
      </c>
      <c r="D39" s="337"/>
      <c r="E39" s="338"/>
      <c r="F39" s="338"/>
      <c r="G39" s="337"/>
      <c r="H39" s="337"/>
      <c r="I39" s="340"/>
    </row>
    <row r="40" spans="1:9" ht="15.75" thickBot="1" x14ac:dyDescent="0.3">
      <c r="A40" s="341"/>
      <c r="B40" s="349" t="s">
        <v>151</v>
      </c>
      <c r="C40" s="342" t="s">
        <v>114</v>
      </c>
      <c r="D40" s="342"/>
      <c r="E40" s="343"/>
      <c r="F40" s="343"/>
      <c r="G40" s="344"/>
      <c r="H40" s="344"/>
      <c r="I40" s="345"/>
    </row>
  </sheetData>
  <mergeCells count="8">
    <mergeCell ref="M2:O2"/>
    <mergeCell ref="P2:S2"/>
    <mergeCell ref="D3:E3"/>
    <mergeCell ref="A33:B34"/>
    <mergeCell ref="C33:D33"/>
    <mergeCell ref="C23:E23"/>
    <mergeCell ref="G23:K23"/>
    <mergeCell ref="C2:E2"/>
  </mergeCells>
  <pageMargins left="0.7" right="0.7" top="0.75" bottom="0.75" header="0.3" footer="0.3"/>
  <pageSetup orientation="portrait"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F48E6-5F8B-483F-91E7-94BB518D8EC4}">
  <dimension ref="A1:Y38"/>
  <sheetViews>
    <sheetView workbookViewId="0">
      <selection activeCell="A2" sqref="A2:XFD2"/>
    </sheetView>
  </sheetViews>
  <sheetFormatPr defaultRowHeight="15" x14ac:dyDescent="0.25"/>
  <cols>
    <col min="1" max="1" width="10.28515625" bestFit="1" customWidth="1"/>
    <col min="2" max="2" width="12.85546875" customWidth="1"/>
    <col min="3" max="3" width="11.28515625" customWidth="1"/>
    <col min="4" max="4" width="13.42578125" customWidth="1"/>
    <col min="5" max="5" width="10.7109375" bestFit="1" customWidth="1"/>
    <col min="6" max="6" width="8.7109375" customWidth="1"/>
    <col min="7" max="7" width="9.85546875" customWidth="1"/>
    <col min="8" max="8" width="6.42578125" customWidth="1"/>
    <col min="9" max="9" width="9.85546875" customWidth="1"/>
    <col min="12" max="12" width="11.42578125" customWidth="1"/>
    <col min="20" max="20" width="13.140625" bestFit="1" customWidth="1"/>
    <col min="21" max="21" width="9" customWidth="1"/>
    <col min="22" max="22" width="9.5703125" bestFit="1" customWidth="1"/>
    <col min="24" max="24" width="11.42578125" customWidth="1"/>
    <col min="25" max="25" width="39.28515625" customWidth="1"/>
  </cols>
  <sheetData>
    <row r="1" spans="1:21" ht="16.5" thickBot="1" x14ac:dyDescent="0.3">
      <c r="A1" s="1" t="s">
        <v>0</v>
      </c>
    </row>
    <row r="2" spans="1:21" x14ac:dyDescent="0.25">
      <c r="A2" s="87"/>
      <c r="B2" s="496"/>
      <c r="C2" s="525" t="s">
        <v>14</v>
      </c>
      <c r="D2" s="526"/>
      <c r="E2" s="526"/>
      <c r="F2" s="497"/>
      <c r="G2" s="498" t="s">
        <v>15</v>
      </c>
      <c r="H2" s="499"/>
      <c r="I2" s="499"/>
      <c r="J2" s="499"/>
      <c r="K2" s="499"/>
      <c r="L2" s="92" t="s">
        <v>16</v>
      </c>
      <c r="M2" s="505" t="s">
        <v>17</v>
      </c>
      <c r="N2" s="506"/>
      <c r="O2" s="506"/>
      <c r="P2" s="507" t="s">
        <v>18</v>
      </c>
      <c r="Q2" s="508"/>
      <c r="R2" s="508"/>
      <c r="S2" s="508"/>
      <c r="T2" s="93" t="s">
        <v>19</v>
      </c>
      <c r="U2" s="500" t="s">
        <v>20</v>
      </c>
    </row>
    <row r="3" spans="1:21" x14ac:dyDescent="0.25">
      <c r="A3" s="94" t="s">
        <v>21</v>
      </c>
      <c r="B3" s="94" t="s">
        <v>22</v>
      </c>
      <c r="C3" s="95" t="s">
        <v>23</v>
      </c>
      <c r="D3" s="509" t="s">
        <v>24</v>
      </c>
      <c r="E3" s="510"/>
      <c r="F3" s="94" t="s">
        <v>25</v>
      </c>
      <c r="G3" s="96" t="s">
        <v>26</v>
      </c>
      <c r="H3" s="97" t="s">
        <v>27</v>
      </c>
      <c r="I3" s="97" t="s">
        <v>28</v>
      </c>
      <c r="J3" s="98"/>
      <c r="K3" s="99" t="s">
        <v>29</v>
      </c>
      <c r="L3" s="100" t="s">
        <v>30</v>
      </c>
      <c r="M3" s="100" t="s">
        <v>31</v>
      </c>
      <c r="N3" s="101" t="s">
        <v>21</v>
      </c>
      <c r="O3" s="102" t="s">
        <v>32</v>
      </c>
      <c r="P3" s="100" t="s">
        <v>33</v>
      </c>
      <c r="Q3" s="103" t="s">
        <v>34</v>
      </c>
      <c r="R3" s="104" t="s">
        <v>35</v>
      </c>
      <c r="S3" s="101" t="s">
        <v>36</v>
      </c>
      <c r="T3" s="105" t="s">
        <v>37</v>
      </c>
      <c r="U3" s="501" t="s">
        <v>37</v>
      </c>
    </row>
    <row r="4" spans="1:21" ht="15.75" thickBot="1" x14ac:dyDescent="0.3">
      <c r="A4" s="94" t="s">
        <v>38</v>
      </c>
      <c r="B4" s="94"/>
      <c r="C4" s="106" t="s">
        <v>39</v>
      </c>
      <c r="D4" s="107" t="s">
        <v>40</v>
      </c>
      <c r="E4" s="107" t="s">
        <v>41</v>
      </c>
      <c r="F4" s="108"/>
      <c r="G4" s="109" t="s">
        <v>42</v>
      </c>
      <c r="H4" s="110" t="s">
        <v>42</v>
      </c>
      <c r="I4" s="110" t="s">
        <v>42</v>
      </c>
      <c r="J4" s="98"/>
      <c r="K4" s="99"/>
      <c r="L4" s="109" t="s">
        <v>43</v>
      </c>
      <c r="M4" s="111" t="s">
        <v>44</v>
      </c>
      <c r="N4" s="112" t="s">
        <v>45</v>
      </c>
      <c r="O4" s="112" t="s">
        <v>46</v>
      </c>
      <c r="P4" s="113" t="s">
        <v>42</v>
      </c>
      <c r="Q4" s="114" t="s">
        <v>44</v>
      </c>
      <c r="R4" s="115" t="s">
        <v>47</v>
      </c>
      <c r="S4" s="112" t="s">
        <v>48</v>
      </c>
      <c r="T4" s="116" t="s">
        <v>49</v>
      </c>
      <c r="U4" s="502" t="s">
        <v>50</v>
      </c>
    </row>
    <row r="5" spans="1:21" ht="34.5" thickBot="1" x14ac:dyDescent="0.3">
      <c r="A5" s="117"/>
      <c r="B5" s="117" t="s">
        <v>51</v>
      </c>
      <c r="C5" s="118" t="s">
        <v>52</v>
      </c>
      <c r="D5" s="119" t="s">
        <v>52</v>
      </c>
      <c r="E5" s="119" t="s">
        <v>52</v>
      </c>
      <c r="F5" s="120"/>
      <c r="G5" s="121" t="s">
        <v>52</v>
      </c>
      <c r="H5" s="122" t="s">
        <v>52</v>
      </c>
      <c r="I5" s="122" t="s">
        <v>53</v>
      </c>
      <c r="J5" s="503" t="s">
        <v>54</v>
      </c>
      <c r="K5" s="124"/>
      <c r="L5" s="121" t="s">
        <v>52</v>
      </c>
      <c r="M5" s="125" t="s">
        <v>55</v>
      </c>
      <c r="N5" s="126" t="s">
        <v>56</v>
      </c>
      <c r="O5" s="126" t="s">
        <v>56</v>
      </c>
      <c r="P5" s="125" t="s">
        <v>52</v>
      </c>
      <c r="Q5" s="127" t="s">
        <v>55</v>
      </c>
      <c r="R5" s="128" t="s">
        <v>57</v>
      </c>
      <c r="S5" s="126" t="s">
        <v>56</v>
      </c>
      <c r="T5" s="129" t="s">
        <v>56</v>
      </c>
      <c r="U5" s="504" t="s">
        <v>56</v>
      </c>
    </row>
    <row r="6" spans="1:21" x14ac:dyDescent="0.25">
      <c r="A6" s="85" t="s">
        <v>7</v>
      </c>
      <c r="B6" s="75">
        <v>41487</v>
      </c>
      <c r="C6" s="4">
        <f>9-2.83</f>
        <v>6.17</v>
      </c>
      <c r="D6" s="5">
        <v>0</v>
      </c>
      <c r="E6" s="6">
        <v>0</v>
      </c>
      <c r="F6" s="7" t="s">
        <v>2</v>
      </c>
      <c r="G6" s="8">
        <v>1.4</v>
      </c>
      <c r="H6" s="9" t="s">
        <v>3</v>
      </c>
      <c r="I6" s="9" t="s">
        <v>3</v>
      </c>
      <c r="J6" s="77" t="s">
        <v>3</v>
      </c>
      <c r="K6" s="10">
        <v>1</v>
      </c>
      <c r="L6" s="8">
        <f>C6</f>
        <v>6.17</v>
      </c>
      <c r="M6" s="11"/>
      <c r="N6" s="12"/>
      <c r="O6" s="9"/>
      <c r="P6" s="8">
        <f>G6</f>
        <v>1.4</v>
      </c>
      <c r="Q6" s="9">
        <f>Q19</f>
        <v>0.4366666666666667</v>
      </c>
      <c r="R6" s="10" t="s">
        <v>4</v>
      </c>
      <c r="S6" s="12">
        <f>((P6*Q6)-(P6*(1-(Q6/0.9)))*0.07)</f>
        <v>0.56088148148148154</v>
      </c>
      <c r="T6" s="12"/>
      <c r="U6" s="12">
        <f>S6</f>
        <v>0.56088148148148154</v>
      </c>
    </row>
    <row r="7" spans="1:21" x14ac:dyDescent="0.25">
      <c r="A7" s="14" t="s">
        <v>12</v>
      </c>
      <c r="B7" s="15">
        <v>41487</v>
      </c>
      <c r="C7" s="86">
        <f>6-1.83</f>
        <v>4.17</v>
      </c>
      <c r="D7" s="79">
        <v>0</v>
      </c>
      <c r="E7" s="80">
        <v>0</v>
      </c>
      <c r="F7" s="17" t="s">
        <v>2</v>
      </c>
      <c r="G7" s="22">
        <v>1.6</v>
      </c>
      <c r="H7" s="20" t="s">
        <v>3</v>
      </c>
      <c r="I7" s="20" t="s">
        <v>3</v>
      </c>
      <c r="J7" s="21" t="s">
        <v>3</v>
      </c>
      <c r="K7" s="81">
        <v>1</v>
      </c>
      <c r="L7" s="22">
        <f>C7</f>
        <v>4.17</v>
      </c>
      <c r="M7" s="11"/>
      <c r="N7" s="13"/>
      <c r="O7" s="20"/>
      <c r="P7" s="22">
        <f>G7</f>
        <v>1.6</v>
      </c>
      <c r="Q7" s="20">
        <f>Q19</f>
        <v>0.4366666666666667</v>
      </c>
      <c r="R7" s="81" t="s">
        <v>4</v>
      </c>
      <c r="S7" s="13">
        <f>((P7*Q7)-(P7*(1-(Q7/0.9)))*0.07)</f>
        <v>0.64100740740740747</v>
      </c>
      <c r="T7" s="13"/>
      <c r="U7" s="13">
        <f>S7</f>
        <v>0.64100740740740747</v>
      </c>
    </row>
    <row r="8" spans="1:21" x14ac:dyDescent="0.25">
      <c r="A8" s="2" t="s">
        <v>1</v>
      </c>
      <c r="B8" s="3">
        <v>41487</v>
      </c>
      <c r="C8" s="4">
        <f>(30/3.2808)-3.38</f>
        <v>5.7641111923920993</v>
      </c>
      <c r="D8" s="5">
        <v>0</v>
      </c>
      <c r="E8" s="6">
        <v>0</v>
      </c>
      <c r="F8" s="7" t="s">
        <v>2</v>
      </c>
      <c r="G8" s="8">
        <v>1.55</v>
      </c>
      <c r="H8" s="9" t="s">
        <v>3</v>
      </c>
      <c r="I8" s="9" t="s">
        <v>3</v>
      </c>
      <c r="J8" s="9">
        <v>7.0000000000000284E-2</v>
      </c>
      <c r="K8" s="10">
        <v>1</v>
      </c>
      <c r="L8" s="8">
        <f>C8</f>
        <v>5.7641111923920993</v>
      </c>
      <c r="M8" s="11"/>
      <c r="N8" s="12"/>
      <c r="O8" s="9"/>
      <c r="P8" s="8">
        <f>G8</f>
        <v>1.55</v>
      </c>
      <c r="Q8" s="9">
        <f>Q19</f>
        <v>0.4366666666666667</v>
      </c>
      <c r="R8" s="10" t="s">
        <v>4</v>
      </c>
      <c r="S8" s="12">
        <f>((P8*Q8)-(P8*(1-(Q8/0.9)))*0.07)</f>
        <v>0.62097592592592599</v>
      </c>
      <c r="T8" s="13">
        <v>-0.44402407407407396</v>
      </c>
      <c r="U8" s="13">
        <f>S8</f>
        <v>0.62097592592592599</v>
      </c>
    </row>
    <row r="9" spans="1:21" s="202" customFormat="1" x14ac:dyDescent="0.25">
      <c r="A9" s="293" t="s">
        <v>5</v>
      </c>
      <c r="B9" s="294">
        <v>41487</v>
      </c>
      <c r="C9" s="295">
        <f>(30/3.2808)-3.63</f>
        <v>5.5141111923920993</v>
      </c>
      <c r="D9" s="296">
        <v>0</v>
      </c>
      <c r="E9" s="297">
        <v>0</v>
      </c>
      <c r="F9" s="296" t="s">
        <v>2</v>
      </c>
      <c r="G9" s="298">
        <v>1.25</v>
      </c>
      <c r="H9" s="299">
        <f>AVERAGE(1.83,1.8)</f>
        <v>1.8149999999999999</v>
      </c>
      <c r="I9" s="299">
        <f>AVERAGE(1.25,1.83,1.8)</f>
        <v>1.6266666666666667</v>
      </c>
      <c r="J9" s="299">
        <v>-0.49000000000000021</v>
      </c>
      <c r="K9" s="300">
        <v>3</v>
      </c>
      <c r="L9" s="301">
        <f>C9</f>
        <v>5.5141111923920993</v>
      </c>
      <c r="M9" s="199"/>
      <c r="N9" s="201"/>
      <c r="O9" s="299"/>
      <c r="P9" s="301">
        <f>I9</f>
        <v>1.6266666666666667</v>
      </c>
      <c r="Q9" s="299">
        <f>Q19</f>
        <v>0.4366666666666667</v>
      </c>
      <c r="R9" s="300" t="s">
        <v>4</v>
      </c>
      <c r="S9" s="201">
        <f>((P9*Q9)-(P9*(1-(Q9/0.9)))*0.07)</f>
        <v>0.65169086419753097</v>
      </c>
      <c r="T9" s="201">
        <v>-0.21830913580246902</v>
      </c>
      <c r="U9" s="201">
        <f>S9</f>
        <v>0.65169086419753097</v>
      </c>
    </row>
    <row r="10" spans="1:21" ht="15.75" thickBot="1" x14ac:dyDescent="0.3">
      <c r="A10" s="23" t="s">
        <v>6</v>
      </c>
      <c r="B10" s="24">
        <v>41487</v>
      </c>
      <c r="C10" s="25">
        <f>(30/3.2808)-3.76</f>
        <v>5.3841111923920995</v>
      </c>
      <c r="D10" s="26">
        <v>0</v>
      </c>
      <c r="E10" s="27">
        <v>0</v>
      </c>
      <c r="F10" s="28" t="s">
        <v>2</v>
      </c>
      <c r="G10" s="29">
        <v>1.32</v>
      </c>
      <c r="H10" s="30">
        <f>AVERAGE(1.83,1.84)</f>
        <v>1.835</v>
      </c>
      <c r="I10" s="30">
        <f>AVERAGE(1.32,1.83,1.84)</f>
        <v>1.6633333333333333</v>
      </c>
      <c r="J10" s="31">
        <v>-1.0000000000000675E-2</v>
      </c>
      <c r="K10" s="32">
        <v>3</v>
      </c>
      <c r="L10" s="29">
        <f>C10</f>
        <v>5.3841111923920995</v>
      </c>
      <c r="M10" s="11"/>
      <c r="N10" s="30"/>
      <c r="O10" s="31"/>
      <c r="P10" s="29">
        <f>I10</f>
        <v>1.6633333333333333</v>
      </c>
      <c r="Q10" s="31">
        <f>Q19</f>
        <v>0.4366666666666667</v>
      </c>
      <c r="R10" s="32" t="s">
        <v>4</v>
      </c>
      <c r="S10" s="30">
        <f>((P10*Q10)-(P10*(1-(Q10/0.9)))*0.07)</f>
        <v>0.6663806172839507</v>
      </c>
      <c r="T10" s="13">
        <v>-0.32886938271604926</v>
      </c>
      <c r="U10" s="13">
        <f>S10</f>
        <v>0.6663806172839507</v>
      </c>
    </row>
    <row r="11" spans="1:21" x14ac:dyDescent="0.25">
      <c r="A11" s="33" t="s">
        <v>7</v>
      </c>
      <c r="B11" s="34">
        <v>41797</v>
      </c>
      <c r="C11" s="35">
        <f>SIN(RADIANS(80))*(9-0.52)</f>
        <v>8.3511697455435243</v>
      </c>
      <c r="D11" s="36">
        <v>0</v>
      </c>
      <c r="E11" s="37">
        <v>0</v>
      </c>
      <c r="F11" s="38" t="s">
        <v>8</v>
      </c>
      <c r="G11" s="39">
        <v>2.8</v>
      </c>
      <c r="H11" s="40" t="s">
        <v>3</v>
      </c>
      <c r="I11" s="41" t="s">
        <v>3</v>
      </c>
      <c r="J11" s="42">
        <v>-0.61883025445647544</v>
      </c>
      <c r="K11" s="43">
        <v>1</v>
      </c>
      <c r="L11" s="39">
        <f>L6</f>
        <v>6.17</v>
      </c>
      <c r="M11" s="44"/>
      <c r="N11" s="45"/>
      <c r="O11" s="45"/>
      <c r="P11" s="39">
        <f>G11</f>
        <v>2.8</v>
      </c>
      <c r="Q11" s="41">
        <f>AVERAGE(Q14,Q12)</f>
        <v>0.41000387087905743</v>
      </c>
      <c r="R11" s="41" t="s">
        <v>4</v>
      </c>
      <c r="S11" s="46">
        <f>P11*Q11</f>
        <v>1.1480108384613608</v>
      </c>
      <c r="T11" s="39">
        <f>S11</f>
        <v>1.1480108384613608</v>
      </c>
      <c r="U11" s="47" t="s">
        <v>3</v>
      </c>
    </row>
    <row r="12" spans="1:21" x14ac:dyDescent="0.25">
      <c r="A12" s="48" t="str">
        <f>A7</f>
        <v>10-K17-6M</v>
      </c>
      <c r="B12" s="49">
        <v>41797</v>
      </c>
      <c r="C12" s="50" t="s">
        <v>9</v>
      </c>
      <c r="D12" s="51">
        <v>0</v>
      </c>
      <c r="E12" s="52">
        <v>0</v>
      </c>
      <c r="F12" s="53" t="s">
        <v>8</v>
      </c>
      <c r="G12" s="54">
        <v>2.73</v>
      </c>
      <c r="H12" s="55">
        <f>AVERAGE(2.69,3.1,3.15,3.23,2.72,2.93,2.69,2.81,3.17)</f>
        <v>2.9433333333333334</v>
      </c>
      <c r="I12" s="56">
        <f>AVERAGE(2.73,2.69,3.1,3.15,3.23,2.72,2.93,2.69,2.81,3.17)</f>
        <v>2.9219999999999997</v>
      </c>
      <c r="J12" s="57" t="s">
        <v>10</v>
      </c>
      <c r="K12" s="58">
        <v>10</v>
      </c>
      <c r="L12" s="54">
        <f>L7</f>
        <v>4.17</v>
      </c>
      <c r="M12" s="44"/>
      <c r="N12" s="59"/>
      <c r="O12" s="59"/>
      <c r="P12" s="54">
        <f>I12</f>
        <v>2.9219999999999997</v>
      </c>
      <c r="Q12" s="55">
        <v>0.37333333333333335</v>
      </c>
      <c r="R12" s="55" t="s">
        <v>11</v>
      </c>
      <c r="S12" s="56">
        <f>P12*Q12</f>
        <v>1.0908799999999998</v>
      </c>
      <c r="T12" s="54">
        <f>S12</f>
        <v>1.0908799999999998</v>
      </c>
      <c r="U12" s="60" t="s">
        <v>3</v>
      </c>
    </row>
    <row r="13" spans="1:21" x14ac:dyDescent="0.25">
      <c r="A13" s="61" t="s">
        <v>1</v>
      </c>
      <c r="B13" s="34">
        <v>41797</v>
      </c>
      <c r="C13" s="35">
        <f>SIN(RADIANS(80))*((30/3.2808)-0.7)</f>
        <v>8.3158261695649003</v>
      </c>
      <c r="D13" s="36">
        <v>0</v>
      </c>
      <c r="E13" s="37">
        <v>0</v>
      </c>
      <c r="F13" s="38" t="s">
        <v>8</v>
      </c>
      <c r="G13" s="39">
        <v>3.2</v>
      </c>
      <c r="H13" s="41" t="s">
        <v>3</v>
      </c>
      <c r="I13" s="41" t="s">
        <v>3</v>
      </c>
      <c r="J13" s="42">
        <v>-0.64828502282719924</v>
      </c>
      <c r="K13" s="43">
        <v>1</v>
      </c>
      <c r="L13" s="39">
        <f>L8</f>
        <v>5.7641111923920993</v>
      </c>
      <c r="M13" s="44"/>
      <c r="N13" s="45"/>
      <c r="O13" s="45"/>
      <c r="P13" s="39">
        <f>G13</f>
        <v>3.2</v>
      </c>
      <c r="Q13" s="41">
        <f>AVERAGE(Q12,Q14)</f>
        <v>0.41000387087905743</v>
      </c>
      <c r="R13" s="46" t="s">
        <v>4</v>
      </c>
      <c r="S13" s="46">
        <f>P13*Q13</f>
        <v>1.3120123868129838</v>
      </c>
      <c r="T13" s="39">
        <f>S13</f>
        <v>1.3120123868129838</v>
      </c>
      <c r="U13" s="47" t="s">
        <v>3</v>
      </c>
    </row>
    <row r="14" spans="1:21" s="202" customFormat="1" x14ac:dyDescent="0.25">
      <c r="A14" s="293" t="s">
        <v>5</v>
      </c>
      <c r="B14" s="302">
        <v>41797</v>
      </c>
      <c r="C14" s="295">
        <f>SIN(RADIANS(80))*((30/3.2808)-1.8)</f>
        <v>7.2325376412514712</v>
      </c>
      <c r="D14" s="303">
        <v>0</v>
      </c>
      <c r="E14" s="304">
        <v>0</v>
      </c>
      <c r="F14" s="296" t="s">
        <v>8</v>
      </c>
      <c r="G14" s="301">
        <v>3.08</v>
      </c>
      <c r="H14" s="299">
        <f>AVERAGE(3.1,3.04,3.2,3.04,3.05,3.09,3.07,3.22,3.13)</f>
        <v>3.1044444444444443</v>
      </c>
      <c r="I14" s="201">
        <f>AVERAGE(3.08,3.1,3.04,3.2,3.04,3.05,3.09,3.07,3.22,3.13)</f>
        <v>3.1019999999999994</v>
      </c>
      <c r="J14" s="299">
        <v>-1.3615735511406282</v>
      </c>
      <c r="K14" s="306">
        <v>10</v>
      </c>
      <c r="L14" s="301">
        <f>L9</f>
        <v>5.5141111923920993</v>
      </c>
      <c r="M14" s="207"/>
      <c r="N14" s="307"/>
      <c r="O14" s="307"/>
      <c r="P14" s="301">
        <f>I14</f>
        <v>3.1019999999999994</v>
      </c>
      <c r="Q14" s="299">
        <v>0.44667440842478157</v>
      </c>
      <c r="R14" s="299" t="s">
        <v>11</v>
      </c>
      <c r="S14" s="201">
        <f>P14*Q14</f>
        <v>1.3855840149336722</v>
      </c>
      <c r="T14" s="301">
        <f>S14</f>
        <v>1.3855840149336722</v>
      </c>
      <c r="U14" s="298" t="s">
        <v>3</v>
      </c>
    </row>
    <row r="15" spans="1:21" ht="15.75" thickBot="1" x14ac:dyDescent="0.3">
      <c r="A15" s="62" t="s">
        <v>6</v>
      </c>
      <c r="B15" s="63">
        <v>41797</v>
      </c>
      <c r="C15" s="64">
        <f>(30/3.2808)-1.12</f>
        <v>8.0241111923920982</v>
      </c>
      <c r="D15" s="65">
        <v>0</v>
      </c>
      <c r="E15" s="66">
        <v>0</v>
      </c>
      <c r="F15" s="67" t="s">
        <v>8</v>
      </c>
      <c r="G15" s="68">
        <v>3.03</v>
      </c>
      <c r="H15" s="69" t="s">
        <v>3</v>
      </c>
      <c r="I15" s="69" t="s">
        <v>3</v>
      </c>
      <c r="J15" s="70">
        <v>-0.39000000000000057</v>
      </c>
      <c r="K15" s="71">
        <v>1</v>
      </c>
      <c r="L15" s="68">
        <f>L10</f>
        <v>5.3841111923920995</v>
      </c>
      <c r="M15" s="44"/>
      <c r="N15" s="72"/>
      <c r="O15" s="72"/>
      <c r="P15" s="68">
        <f>G15</f>
        <v>3.03</v>
      </c>
      <c r="Q15" s="69">
        <f>AVERAGE(Q14,Q12)</f>
        <v>0.41000387087905743</v>
      </c>
      <c r="R15" s="73" t="s">
        <v>4</v>
      </c>
      <c r="S15" s="73">
        <f>P15*Q15</f>
        <v>1.2423117287635439</v>
      </c>
      <c r="T15" s="68">
        <f>S15</f>
        <v>1.2423117287635439</v>
      </c>
      <c r="U15" s="74" t="s">
        <v>3</v>
      </c>
    </row>
    <row r="16" spans="1:21" x14ac:dyDescent="0.25">
      <c r="A16" s="2" t="s">
        <v>7</v>
      </c>
      <c r="B16" s="75">
        <v>41872</v>
      </c>
      <c r="C16" s="76">
        <f>9-1.57</f>
        <v>7.43</v>
      </c>
      <c r="D16" s="5">
        <v>0</v>
      </c>
      <c r="E16" s="6">
        <v>0</v>
      </c>
      <c r="F16" s="7" t="s">
        <v>2</v>
      </c>
      <c r="G16" s="11">
        <v>2.0499999999999998</v>
      </c>
      <c r="H16" s="9" t="s">
        <v>3</v>
      </c>
      <c r="I16" s="9" t="s">
        <v>3</v>
      </c>
      <c r="J16" s="9">
        <v>-0.79</v>
      </c>
      <c r="K16" s="10">
        <v>1</v>
      </c>
      <c r="L16" s="11">
        <f t="shared" ref="L16:L20" si="0">C16</f>
        <v>7.43</v>
      </c>
      <c r="M16" s="11">
        <f>M29</f>
        <v>0</v>
      </c>
      <c r="N16" s="12">
        <f t="shared" ref="N16:N20" si="1">L16*M16</f>
        <v>0</v>
      </c>
      <c r="O16" s="9">
        <f>N16-N11</f>
        <v>0</v>
      </c>
      <c r="P16" s="8">
        <f>G16</f>
        <v>2.0499999999999998</v>
      </c>
      <c r="Q16" s="9">
        <f>Q19</f>
        <v>0.4366666666666667</v>
      </c>
      <c r="R16" s="77" t="s">
        <v>4</v>
      </c>
      <c r="S16" s="12">
        <f>((P16*Q16)-(P16*(1-(Q16/0.9)))*0.07)</f>
        <v>0.82129074074074071</v>
      </c>
      <c r="T16" s="8">
        <f>-S16</f>
        <v>-0.82129074074074071</v>
      </c>
      <c r="U16" s="8">
        <f>T16+T11</f>
        <v>0.32672009772062005</v>
      </c>
    </row>
    <row r="17" spans="1:25" x14ac:dyDescent="0.25">
      <c r="A17" s="14" t="s">
        <v>12</v>
      </c>
      <c r="B17" s="78">
        <v>41872</v>
      </c>
      <c r="C17" s="16">
        <f>6-0.63</f>
        <v>5.37</v>
      </c>
      <c r="D17" s="79">
        <v>0</v>
      </c>
      <c r="E17" s="80">
        <v>0</v>
      </c>
      <c r="F17" s="17" t="s">
        <v>13</v>
      </c>
      <c r="G17" s="19">
        <v>2</v>
      </c>
      <c r="H17" s="20" t="s">
        <v>3</v>
      </c>
      <c r="I17" s="20" t="s">
        <v>3</v>
      </c>
      <c r="J17" s="20">
        <v>-0.79999999999999982</v>
      </c>
      <c r="K17" s="81">
        <v>1</v>
      </c>
      <c r="L17" s="19">
        <f t="shared" si="0"/>
        <v>5.37</v>
      </c>
      <c r="M17" s="19">
        <f>M29</f>
        <v>0</v>
      </c>
      <c r="N17" s="13">
        <f t="shared" si="1"/>
        <v>0</v>
      </c>
      <c r="O17" s="20">
        <f>N17-N12</f>
        <v>0</v>
      </c>
      <c r="P17" s="22">
        <f>G17</f>
        <v>2</v>
      </c>
      <c r="Q17" s="20">
        <f>Q19</f>
        <v>0.4366666666666667</v>
      </c>
      <c r="R17" s="81" t="s">
        <v>4</v>
      </c>
      <c r="S17" s="13">
        <f>((P17*Q17)-(P17*(1-(Q17/0.9)))*0.07)</f>
        <v>0.80125925925925934</v>
      </c>
      <c r="T17" s="22">
        <f>-S17</f>
        <v>-0.80125925925925934</v>
      </c>
      <c r="U17" s="22">
        <f>T17+T12</f>
        <v>0.28962074074074051</v>
      </c>
    </row>
    <row r="18" spans="1:25" x14ac:dyDescent="0.25">
      <c r="A18" s="14" t="s">
        <v>1</v>
      </c>
      <c r="B18" s="78">
        <v>41872</v>
      </c>
      <c r="C18" s="16">
        <f>(30/3.2808)-1.76</f>
        <v>7.3841111923920995</v>
      </c>
      <c r="D18" s="79">
        <v>0</v>
      </c>
      <c r="E18" s="80">
        <v>0</v>
      </c>
      <c r="F18" s="17" t="s">
        <v>13</v>
      </c>
      <c r="G18" s="19">
        <v>2.2400000000000002</v>
      </c>
      <c r="H18" s="20" t="s">
        <v>3</v>
      </c>
      <c r="I18" s="20" t="s">
        <v>3</v>
      </c>
      <c r="J18" s="20">
        <v>-0.62000000000000011</v>
      </c>
      <c r="K18" s="81">
        <v>1</v>
      </c>
      <c r="L18" s="19">
        <f t="shared" si="0"/>
        <v>7.3841111923920995</v>
      </c>
      <c r="M18" s="19">
        <f>M29</f>
        <v>0</v>
      </c>
      <c r="N18" s="13">
        <f t="shared" si="1"/>
        <v>0</v>
      </c>
      <c r="O18" s="20">
        <f>N18-N13</f>
        <v>0</v>
      </c>
      <c r="P18" s="22">
        <f>G18</f>
        <v>2.2400000000000002</v>
      </c>
      <c r="Q18" s="20">
        <f>Q19</f>
        <v>0.4366666666666667</v>
      </c>
      <c r="R18" s="81" t="s">
        <v>4</v>
      </c>
      <c r="S18" s="13">
        <f>((P18*Q18)-(P18*(1-(Q18/0.9)))*0.07)</f>
        <v>0.89741037037037052</v>
      </c>
      <c r="T18" s="22">
        <f>-S18</f>
        <v>-0.89741037037037052</v>
      </c>
      <c r="U18" s="22">
        <f>T18+T13</f>
        <v>0.4146020164426133</v>
      </c>
    </row>
    <row r="19" spans="1:25" s="202" customFormat="1" x14ac:dyDescent="0.25">
      <c r="A19" s="293" t="s">
        <v>5</v>
      </c>
      <c r="B19" s="302">
        <v>41872</v>
      </c>
      <c r="C19" s="295">
        <f>(30/3.2808)-2.1</f>
        <v>7.0441111923920996</v>
      </c>
      <c r="D19" s="303">
        <v>0</v>
      </c>
      <c r="E19" s="304">
        <v>0</v>
      </c>
      <c r="F19" s="296" t="s">
        <v>13</v>
      </c>
      <c r="G19" s="298">
        <v>2.09</v>
      </c>
      <c r="H19" s="201">
        <f>AVERAGE(2.18,2.05,2.22,2.07,2,2.19,2.05,2.2,2.03)</f>
        <v>2.1100000000000003</v>
      </c>
      <c r="I19" s="201">
        <f>AVERAGE(2.09,2.18,2.05,2.22,2.07,2,2.19,2.05,2.2,2.03)</f>
        <v>2.1079999999999997</v>
      </c>
      <c r="J19" s="299">
        <v>-0.55999999999999961</v>
      </c>
      <c r="K19" s="305">
        <v>10</v>
      </c>
      <c r="L19" s="298">
        <f t="shared" si="0"/>
        <v>7.0441111923920996</v>
      </c>
      <c r="M19" s="298">
        <f>M29</f>
        <v>0</v>
      </c>
      <c r="N19" s="201">
        <f t="shared" si="1"/>
        <v>0</v>
      </c>
      <c r="O19" s="299">
        <f>N19-N14</f>
        <v>0</v>
      </c>
      <c r="P19" s="301">
        <f>I19</f>
        <v>2.1079999999999997</v>
      </c>
      <c r="Q19" s="299">
        <v>0.4366666666666667</v>
      </c>
      <c r="R19" s="300" t="s">
        <v>11</v>
      </c>
      <c r="S19" s="201">
        <f>((P19*Q19)-(P19*(1-(Q19/0.9)))*0.07)</f>
        <v>0.8445272592592592</v>
      </c>
      <c r="T19" s="301">
        <f>-S19</f>
        <v>-0.8445272592592592</v>
      </c>
      <c r="U19" s="301">
        <f>T19+T14</f>
        <v>0.54105675567441303</v>
      </c>
    </row>
    <row r="20" spans="1:25" ht="15.75" thickBot="1" x14ac:dyDescent="0.3">
      <c r="A20" s="82" t="s">
        <v>6</v>
      </c>
      <c r="B20" s="83">
        <v>41872</v>
      </c>
      <c r="C20" s="25">
        <f>(30/3.2808)-2.07</f>
        <v>7.074111192392099</v>
      </c>
      <c r="D20" s="26">
        <v>0</v>
      </c>
      <c r="E20" s="27">
        <v>0</v>
      </c>
      <c r="F20" s="28" t="s">
        <v>13</v>
      </c>
      <c r="G20" s="84">
        <v>2.48</v>
      </c>
      <c r="H20" s="31" t="s">
        <v>3</v>
      </c>
      <c r="I20" s="31" t="s">
        <v>3</v>
      </c>
      <c r="J20" s="31">
        <v>-0.79000000000000092</v>
      </c>
      <c r="K20" s="32">
        <v>1</v>
      </c>
      <c r="L20" s="84">
        <f t="shared" si="0"/>
        <v>7.074111192392099</v>
      </c>
      <c r="M20" s="84">
        <f>M29</f>
        <v>0</v>
      </c>
      <c r="N20" s="30">
        <f t="shared" si="1"/>
        <v>0</v>
      </c>
      <c r="O20" s="31">
        <f>N20-N15</f>
        <v>0</v>
      </c>
      <c r="P20" s="29">
        <f>G20</f>
        <v>2.48</v>
      </c>
      <c r="Q20" s="31">
        <f>Q19</f>
        <v>0.4366666666666667</v>
      </c>
      <c r="R20" s="32" t="s">
        <v>4</v>
      </c>
      <c r="S20" s="30">
        <f>((P20*Q20)-(P20*(1-(Q20/0.9)))*0.07)</f>
        <v>0.99356148148148171</v>
      </c>
      <c r="T20" s="29">
        <f>-S20</f>
        <v>-0.99356148148148171</v>
      </c>
      <c r="U20" s="29">
        <f>T20+T15</f>
        <v>0.24875024728206219</v>
      </c>
    </row>
    <row r="22" spans="1:25" ht="16.5" thickBot="1" x14ac:dyDescent="0.3">
      <c r="A22" s="1" t="s">
        <v>58</v>
      </c>
    </row>
    <row r="23" spans="1:25" x14ac:dyDescent="0.25">
      <c r="A23" s="489"/>
      <c r="B23" s="490"/>
      <c r="C23" s="517" t="s">
        <v>14</v>
      </c>
      <c r="D23" s="518"/>
      <c r="E23" s="519"/>
      <c r="F23" s="490"/>
      <c r="G23" s="520" t="s">
        <v>15</v>
      </c>
      <c r="H23" s="521"/>
      <c r="I23" s="521"/>
      <c r="J23" s="521"/>
      <c r="K23" s="522"/>
      <c r="L23" s="491"/>
      <c r="M23" s="492"/>
      <c r="N23" s="151" t="s">
        <v>59</v>
      </c>
      <c r="O23" s="152"/>
      <c r="P23" s="493"/>
      <c r="Q23" s="151" t="s">
        <v>60</v>
      </c>
      <c r="R23" s="151"/>
      <c r="S23" s="152"/>
      <c r="T23" s="494" t="s">
        <v>61</v>
      </c>
      <c r="U23" s="151"/>
      <c r="V23" s="151"/>
      <c r="W23" s="151"/>
      <c r="X23" s="151"/>
      <c r="Y23" s="152"/>
    </row>
    <row r="24" spans="1:25" ht="33.75" x14ac:dyDescent="0.25">
      <c r="A24" s="143" t="s">
        <v>21</v>
      </c>
      <c r="B24" s="143" t="s">
        <v>22</v>
      </c>
      <c r="C24" s="153" t="s">
        <v>62</v>
      </c>
      <c r="D24" s="154" t="s">
        <v>63</v>
      </c>
      <c r="E24" s="155" t="s">
        <v>64</v>
      </c>
      <c r="F24" s="143" t="s">
        <v>25</v>
      </c>
      <c r="G24" s="156" t="s">
        <v>65</v>
      </c>
      <c r="H24" s="157"/>
      <c r="I24" s="157" t="s">
        <v>28</v>
      </c>
      <c r="J24" s="157"/>
      <c r="K24" s="158"/>
      <c r="L24" s="159" t="s">
        <v>66</v>
      </c>
      <c r="M24" s="146" t="s">
        <v>31</v>
      </c>
      <c r="N24" s="160" t="s">
        <v>67</v>
      </c>
      <c r="O24" s="161"/>
      <c r="P24" s="146" t="s">
        <v>33</v>
      </c>
      <c r="Q24" s="162" t="s">
        <v>34</v>
      </c>
      <c r="R24" s="160" t="s">
        <v>68</v>
      </c>
      <c r="S24" s="488" t="s">
        <v>106</v>
      </c>
      <c r="T24" s="163" t="s">
        <v>69</v>
      </c>
      <c r="U24" s="164" t="s">
        <v>70</v>
      </c>
      <c r="V24" s="164" t="s">
        <v>71</v>
      </c>
      <c r="W24" s="165" t="s">
        <v>72</v>
      </c>
      <c r="X24" s="165" t="s">
        <v>73</v>
      </c>
      <c r="Y24" s="166" t="s">
        <v>74</v>
      </c>
    </row>
    <row r="25" spans="1:25" x14ac:dyDescent="0.25">
      <c r="A25" s="143" t="s">
        <v>38</v>
      </c>
      <c r="B25" s="143"/>
      <c r="C25" s="153"/>
      <c r="D25" s="154"/>
      <c r="E25" s="155"/>
      <c r="F25" s="144"/>
      <c r="G25" s="156"/>
      <c r="H25" s="157"/>
      <c r="I25" s="157"/>
      <c r="J25" s="157"/>
      <c r="K25" s="158"/>
      <c r="L25" s="143"/>
      <c r="M25" s="146"/>
      <c r="N25" s="167" t="s">
        <v>75</v>
      </c>
      <c r="O25" s="161"/>
      <c r="P25" s="146" t="s">
        <v>42</v>
      </c>
      <c r="Q25" s="168" t="s">
        <v>44</v>
      </c>
      <c r="R25" s="167"/>
      <c r="S25" s="161"/>
      <c r="T25" s="150"/>
      <c r="U25" s="147"/>
      <c r="V25" s="147"/>
      <c r="W25" s="169"/>
      <c r="X25" s="169"/>
      <c r="Y25" s="148"/>
    </row>
    <row r="26" spans="1:25" ht="15.75" thickBot="1" x14ac:dyDescent="0.3">
      <c r="A26" s="170"/>
      <c r="B26" s="170" t="s">
        <v>51</v>
      </c>
      <c r="C26" s="171" t="s">
        <v>52</v>
      </c>
      <c r="D26" s="172" t="s">
        <v>52</v>
      </c>
      <c r="E26" s="173" t="s">
        <v>52</v>
      </c>
      <c r="F26" s="174"/>
      <c r="G26" s="175" t="s">
        <v>52</v>
      </c>
      <c r="H26" s="176"/>
      <c r="I26" s="176" t="s">
        <v>53</v>
      </c>
      <c r="J26" s="176"/>
      <c r="K26" s="177"/>
      <c r="L26" s="170" t="s">
        <v>52</v>
      </c>
      <c r="M26" s="178" t="s">
        <v>76</v>
      </c>
      <c r="N26" s="179" t="s">
        <v>52</v>
      </c>
      <c r="O26" s="180"/>
      <c r="P26" s="178" t="s">
        <v>52</v>
      </c>
      <c r="Q26" s="181" t="s">
        <v>55</v>
      </c>
      <c r="R26" s="179"/>
      <c r="S26" s="180" t="s">
        <v>111</v>
      </c>
      <c r="T26" s="182" t="s">
        <v>77</v>
      </c>
      <c r="U26" s="183" t="s">
        <v>77</v>
      </c>
      <c r="V26" s="183" t="s">
        <v>77</v>
      </c>
      <c r="W26" s="183" t="s">
        <v>77</v>
      </c>
      <c r="X26" s="183" t="s">
        <v>77</v>
      </c>
      <c r="Y26" s="184"/>
    </row>
    <row r="27" spans="1:25" s="322" customFormat="1" ht="11.25" x14ac:dyDescent="0.25">
      <c r="A27" s="308" t="s">
        <v>120</v>
      </c>
      <c r="B27" s="309">
        <v>41487</v>
      </c>
      <c r="C27" s="310">
        <v>9.14</v>
      </c>
      <c r="D27" s="310">
        <v>3.63</v>
      </c>
      <c r="E27" s="310">
        <f>C27-D27</f>
        <v>5.5100000000000007</v>
      </c>
      <c r="F27" s="311" t="s">
        <v>79</v>
      </c>
      <c r="G27" s="308"/>
      <c r="H27" s="308"/>
      <c r="I27" s="308"/>
      <c r="J27" s="308"/>
      <c r="K27" s="312"/>
      <c r="L27" s="308"/>
      <c r="M27" s="308"/>
      <c r="N27" s="308"/>
      <c r="O27" s="308"/>
      <c r="P27" s="308"/>
      <c r="Q27" s="495">
        <v>0.5</v>
      </c>
      <c r="R27" s="308" t="s">
        <v>137</v>
      </c>
      <c r="S27" s="308"/>
      <c r="T27" s="311"/>
      <c r="U27" s="311"/>
      <c r="V27" s="311"/>
      <c r="W27" s="311"/>
      <c r="X27" s="311">
        <v>0</v>
      </c>
      <c r="Y27" s="313" t="s">
        <v>121</v>
      </c>
    </row>
    <row r="28" spans="1:25" s="324" customFormat="1" ht="11.25" x14ac:dyDescent="0.25">
      <c r="A28" s="314" t="s">
        <v>120</v>
      </c>
      <c r="B28" s="323">
        <v>41432</v>
      </c>
      <c r="C28" s="324">
        <v>9.14</v>
      </c>
      <c r="D28" s="324">
        <v>1.08</v>
      </c>
      <c r="E28" s="324">
        <f>C28-D28</f>
        <v>8.06</v>
      </c>
      <c r="F28" s="327" t="s">
        <v>8</v>
      </c>
      <c r="L28" s="325">
        <f>E28-P28</f>
        <v>4.9580000000000002</v>
      </c>
      <c r="N28" s="325">
        <f>L28-E27</f>
        <v>-0.55200000000000049</v>
      </c>
      <c r="P28" s="325">
        <f>'FedSampCores13-K17B_2014.06.07'!I3</f>
        <v>3.1019999999999999</v>
      </c>
      <c r="Q28" s="326">
        <f>'FedSampCores13-K17B_2014.06.07'!$I$4</f>
        <v>0.41668139747808502</v>
      </c>
      <c r="R28" s="324" t="s">
        <v>11</v>
      </c>
      <c r="S28" s="326">
        <f>'FedSampCores13-K17B_2014.06.07'!$O$11</f>
        <v>0.91708575112830448</v>
      </c>
      <c r="U28" s="326">
        <f>P28*Q28</f>
        <v>1.2925456949770198</v>
      </c>
      <c r="W28" s="325">
        <f>(L28-E27) *Q27</f>
        <v>-0.27600000000000025</v>
      </c>
      <c r="Y28" s="324" t="s">
        <v>135</v>
      </c>
    </row>
    <row r="29" spans="1:25" s="318" customFormat="1" ht="22.5" x14ac:dyDescent="0.25">
      <c r="A29" s="308" t="s">
        <v>120</v>
      </c>
      <c r="B29" s="317">
        <v>41872</v>
      </c>
      <c r="C29" s="318">
        <v>9.14</v>
      </c>
      <c r="D29" s="318">
        <v>2.1</v>
      </c>
      <c r="E29" s="318">
        <f>C29-D29</f>
        <v>7.0400000000000009</v>
      </c>
      <c r="F29" s="318" t="s">
        <v>79</v>
      </c>
      <c r="G29" s="319">
        <f>'FedSampCores13-K17B_2014.08.21'!I2</f>
        <v>2.09</v>
      </c>
      <c r="I29" s="319">
        <f>'FedSampCores13-K17B_2014.08.21'!I3</f>
        <v>2.1080000000000001</v>
      </c>
      <c r="L29" s="319">
        <f>E29-G29</f>
        <v>4.9500000000000011</v>
      </c>
      <c r="N29" s="320">
        <f>E29-L28</f>
        <v>2.0820000000000007</v>
      </c>
      <c r="P29" s="320">
        <f>I29</f>
        <v>2.1080000000000001</v>
      </c>
      <c r="Q29" s="319">
        <f>'FedSampCores13-K17B_2014.08.21'!I4</f>
        <v>0.4371058150336658</v>
      </c>
      <c r="R29" s="318" t="s">
        <v>11</v>
      </c>
      <c r="S29" s="319">
        <f>'FedSampCores13-K17B_2014.08.21'!O12</f>
        <v>0.97248576850094859</v>
      </c>
      <c r="T29" s="319">
        <f>V29-U28</f>
        <v>-0.37112663688605219</v>
      </c>
      <c r="V29" s="319">
        <f>P29*Q29</f>
        <v>0.92141905809096758</v>
      </c>
      <c r="X29" s="321" t="s">
        <v>136</v>
      </c>
      <c r="Y29" s="318" t="s">
        <v>134</v>
      </c>
    </row>
    <row r="30" spans="1:25" ht="15.75" thickBot="1" x14ac:dyDescent="0.3"/>
    <row r="31" spans="1:25" x14ac:dyDescent="0.25">
      <c r="A31" s="511" t="s">
        <v>138</v>
      </c>
      <c r="B31" s="512"/>
      <c r="C31" s="515" t="s">
        <v>139</v>
      </c>
      <c r="D31" s="516"/>
      <c r="E31" s="328" t="s">
        <v>140</v>
      </c>
      <c r="F31" s="329"/>
      <c r="G31" s="328" t="s">
        <v>141</v>
      </c>
      <c r="H31" s="329"/>
      <c r="I31" s="330" t="s">
        <v>142</v>
      </c>
    </row>
    <row r="32" spans="1:25" x14ac:dyDescent="0.25">
      <c r="A32" s="513"/>
      <c r="B32" s="514"/>
      <c r="C32" s="331" t="s">
        <v>143</v>
      </c>
      <c r="D32" s="331" t="s">
        <v>144</v>
      </c>
      <c r="E32" s="332">
        <f>B27</f>
        <v>41487</v>
      </c>
      <c r="F32" s="333" t="s">
        <v>145</v>
      </c>
      <c r="G32" s="334">
        <f>B28</f>
        <v>41432</v>
      </c>
      <c r="H32" s="333" t="s">
        <v>145</v>
      </c>
      <c r="I32" s="335">
        <f>B29</f>
        <v>41872</v>
      </c>
    </row>
    <row r="33" spans="1:9" x14ac:dyDescent="0.25">
      <c r="A33" s="336"/>
      <c r="B33" s="346" t="s">
        <v>146</v>
      </c>
      <c r="C33" s="337">
        <f>U28</f>
        <v>1.2925456949770198</v>
      </c>
      <c r="D33" s="337" t="s">
        <v>114</v>
      </c>
      <c r="E33" s="338"/>
      <c r="F33" s="338"/>
      <c r="G33" s="339"/>
      <c r="H33" s="337"/>
      <c r="I33" s="340"/>
    </row>
    <row r="34" spans="1:9" x14ac:dyDescent="0.25">
      <c r="A34" s="336"/>
      <c r="B34" s="346" t="s">
        <v>147</v>
      </c>
      <c r="C34" s="337">
        <f>T29</f>
        <v>-0.37112663688605219</v>
      </c>
      <c r="D34" s="337"/>
      <c r="E34" s="338"/>
      <c r="F34" s="338"/>
      <c r="G34" s="339"/>
      <c r="H34" s="337"/>
      <c r="I34" s="340"/>
    </row>
    <row r="35" spans="1:9" x14ac:dyDescent="0.25">
      <c r="A35" s="336"/>
      <c r="B35" s="346" t="s">
        <v>148</v>
      </c>
      <c r="C35" s="337">
        <f>V29</f>
        <v>0.92141905809096758</v>
      </c>
      <c r="D35" s="337"/>
      <c r="E35" s="338"/>
      <c r="F35" s="338"/>
      <c r="G35" s="339"/>
      <c r="H35" s="337"/>
      <c r="I35" s="340"/>
    </row>
    <row r="36" spans="1:9" x14ac:dyDescent="0.25">
      <c r="A36" s="336"/>
      <c r="B36" s="347" t="s">
        <v>149</v>
      </c>
      <c r="C36" s="337">
        <f>X27</f>
        <v>0</v>
      </c>
      <c r="D36" s="337"/>
      <c r="E36" s="338"/>
      <c r="F36" s="338"/>
      <c r="G36" s="337"/>
      <c r="H36" s="337"/>
      <c r="I36" s="340"/>
    </row>
    <row r="37" spans="1:9" x14ac:dyDescent="0.25">
      <c r="A37" s="336"/>
      <c r="B37" s="348" t="s">
        <v>150</v>
      </c>
      <c r="C37" s="337">
        <f>W28</f>
        <v>-0.27600000000000025</v>
      </c>
      <c r="D37" s="337"/>
      <c r="E37" s="338"/>
      <c r="F37" s="338"/>
      <c r="G37" s="337"/>
      <c r="H37" s="337"/>
      <c r="I37" s="340"/>
    </row>
    <row r="38" spans="1:9" ht="15.75" thickBot="1" x14ac:dyDescent="0.3">
      <c r="A38" s="341"/>
      <c r="B38" s="349" t="s">
        <v>151</v>
      </c>
      <c r="C38" s="342" t="str">
        <f>X29</f>
        <v>present, not measured</v>
      </c>
      <c r="D38" s="342"/>
      <c r="E38" s="343"/>
      <c r="F38" s="343"/>
      <c r="G38" s="344"/>
      <c r="H38" s="344"/>
      <c r="I38" s="345"/>
    </row>
  </sheetData>
  <mergeCells count="8">
    <mergeCell ref="A31:B32"/>
    <mergeCell ref="C31:D31"/>
    <mergeCell ref="C2:E2"/>
    <mergeCell ref="M2:O2"/>
    <mergeCell ref="P2:S2"/>
    <mergeCell ref="D3:E3"/>
    <mergeCell ref="C23:E23"/>
    <mergeCell ref="G23:K23"/>
  </mergeCells>
  <pageMargins left="0.7" right="0.7" top="0.75" bottom="0.75" header="0.3" footer="0.3"/>
  <pageSetup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FA066-DD8E-414A-B165-E0FDD44C01C2}">
  <dimension ref="A1:Y38"/>
  <sheetViews>
    <sheetView topLeftCell="E7" workbookViewId="0">
      <selection activeCell="Y29" sqref="Y29"/>
    </sheetView>
  </sheetViews>
  <sheetFormatPr defaultRowHeight="15" x14ac:dyDescent="0.25"/>
  <cols>
    <col min="1" max="1" width="10.28515625" bestFit="1" customWidth="1"/>
    <col min="2" max="2" width="12.85546875" customWidth="1"/>
    <col min="3" max="3" width="11.28515625" customWidth="1"/>
    <col min="4" max="4" width="13.42578125" customWidth="1"/>
    <col min="5" max="5" width="10.7109375" bestFit="1" customWidth="1"/>
    <col min="6" max="6" width="8.7109375" customWidth="1"/>
    <col min="7" max="7" width="9.85546875" customWidth="1"/>
    <col min="8" max="8" width="6.42578125" customWidth="1"/>
    <col min="9" max="9" width="9.85546875" customWidth="1"/>
    <col min="12" max="12" width="11.42578125" customWidth="1"/>
    <col min="16" max="17" width="10" bestFit="1" customWidth="1"/>
    <col min="20" max="20" width="13.140625" bestFit="1" customWidth="1"/>
    <col min="21" max="21" width="9" customWidth="1"/>
    <col min="22" max="22" width="9.5703125" bestFit="1" customWidth="1"/>
    <col min="24" max="24" width="11.42578125" customWidth="1"/>
    <col min="25" max="25" width="39.28515625" customWidth="1"/>
  </cols>
  <sheetData>
    <row r="1" spans="1:25" ht="16.5" thickBot="1" x14ac:dyDescent="0.3">
      <c r="A1" s="1" t="s">
        <v>0</v>
      </c>
    </row>
    <row r="2" spans="1:25" x14ac:dyDescent="0.25">
      <c r="A2" s="87"/>
      <c r="B2" s="88"/>
      <c r="C2" s="523" t="s">
        <v>14</v>
      </c>
      <c r="D2" s="524"/>
      <c r="E2" s="524"/>
      <c r="F2" s="89"/>
      <c r="G2" s="90" t="s">
        <v>15</v>
      </c>
      <c r="H2" s="91"/>
      <c r="I2" s="91"/>
      <c r="J2" s="91"/>
      <c r="K2" s="91"/>
      <c r="L2" s="92" t="s">
        <v>16</v>
      </c>
      <c r="M2" s="505" t="s">
        <v>17</v>
      </c>
      <c r="N2" s="506"/>
      <c r="O2" s="506"/>
      <c r="P2" s="507" t="s">
        <v>18</v>
      </c>
      <c r="Q2" s="508"/>
      <c r="R2" s="508"/>
      <c r="S2" s="508"/>
      <c r="T2" s="93" t="s">
        <v>19</v>
      </c>
      <c r="U2" s="93" t="s">
        <v>20</v>
      </c>
    </row>
    <row r="3" spans="1:25" x14ac:dyDescent="0.25">
      <c r="A3" s="94" t="s">
        <v>21</v>
      </c>
      <c r="B3" s="94" t="s">
        <v>22</v>
      </c>
      <c r="C3" s="95" t="s">
        <v>23</v>
      </c>
      <c r="D3" s="509" t="s">
        <v>24</v>
      </c>
      <c r="E3" s="510"/>
      <c r="F3" s="94" t="s">
        <v>25</v>
      </c>
      <c r="G3" s="96" t="s">
        <v>26</v>
      </c>
      <c r="H3" s="97" t="s">
        <v>27</v>
      </c>
      <c r="I3" s="97" t="s">
        <v>28</v>
      </c>
      <c r="J3" s="98"/>
      <c r="K3" s="99" t="s">
        <v>29</v>
      </c>
      <c r="L3" s="100" t="s">
        <v>30</v>
      </c>
      <c r="M3" s="100" t="s">
        <v>31</v>
      </c>
      <c r="N3" s="101" t="s">
        <v>21</v>
      </c>
      <c r="O3" s="102" t="s">
        <v>32</v>
      </c>
      <c r="P3" s="100" t="s">
        <v>33</v>
      </c>
      <c r="Q3" s="103" t="s">
        <v>34</v>
      </c>
      <c r="R3" s="104" t="s">
        <v>35</v>
      </c>
      <c r="S3" s="101" t="s">
        <v>36</v>
      </c>
      <c r="T3" s="105" t="s">
        <v>37</v>
      </c>
      <c r="U3" s="105" t="s">
        <v>37</v>
      </c>
    </row>
    <row r="4" spans="1:25" ht="15.75" thickBot="1" x14ac:dyDescent="0.3">
      <c r="A4" s="94" t="s">
        <v>38</v>
      </c>
      <c r="B4" s="94"/>
      <c r="C4" s="106" t="s">
        <v>39</v>
      </c>
      <c r="D4" s="107" t="s">
        <v>40</v>
      </c>
      <c r="E4" s="107" t="s">
        <v>41</v>
      </c>
      <c r="F4" s="108"/>
      <c r="G4" s="109" t="s">
        <v>42</v>
      </c>
      <c r="H4" s="110" t="s">
        <v>42</v>
      </c>
      <c r="I4" s="110" t="s">
        <v>42</v>
      </c>
      <c r="J4" s="98"/>
      <c r="K4" s="99"/>
      <c r="L4" s="109" t="s">
        <v>43</v>
      </c>
      <c r="M4" s="111" t="s">
        <v>44</v>
      </c>
      <c r="N4" s="112" t="s">
        <v>45</v>
      </c>
      <c r="O4" s="112" t="s">
        <v>46</v>
      </c>
      <c r="P4" s="113" t="s">
        <v>42</v>
      </c>
      <c r="Q4" s="114" t="s">
        <v>44</v>
      </c>
      <c r="R4" s="115" t="s">
        <v>47</v>
      </c>
      <c r="S4" s="112" t="s">
        <v>48</v>
      </c>
      <c r="T4" s="116" t="s">
        <v>49</v>
      </c>
      <c r="U4" s="116" t="s">
        <v>50</v>
      </c>
      <c r="V4" s="486"/>
      <c r="W4" s="486"/>
      <c r="X4" s="486"/>
      <c r="Y4" s="486"/>
    </row>
    <row r="5" spans="1:25" ht="34.5" thickBot="1" x14ac:dyDescent="0.3">
      <c r="A5" s="117"/>
      <c r="B5" s="117" t="s">
        <v>51</v>
      </c>
      <c r="C5" s="118" t="s">
        <v>52</v>
      </c>
      <c r="D5" s="119" t="s">
        <v>52</v>
      </c>
      <c r="E5" s="119" t="s">
        <v>52</v>
      </c>
      <c r="F5" s="120"/>
      <c r="G5" s="121" t="s">
        <v>52</v>
      </c>
      <c r="H5" s="122" t="s">
        <v>52</v>
      </c>
      <c r="I5" s="122" t="s">
        <v>53</v>
      </c>
      <c r="J5" s="123" t="s">
        <v>54</v>
      </c>
      <c r="K5" s="124"/>
      <c r="L5" s="121" t="s">
        <v>52</v>
      </c>
      <c r="M5" s="125" t="s">
        <v>55</v>
      </c>
      <c r="N5" s="126" t="s">
        <v>56</v>
      </c>
      <c r="O5" s="126" t="s">
        <v>56</v>
      </c>
      <c r="P5" s="125" t="s">
        <v>52</v>
      </c>
      <c r="Q5" s="127" t="s">
        <v>55</v>
      </c>
      <c r="R5" s="128" t="s">
        <v>57</v>
      </c>
      <c r="S5" s="126" t="s">
        <v>56</v>
      </c>
      <c r="T5" s="129" t="s">
        <v>56</v>
      </c>
      <c r="U5" s="129" t="s">
        <v>56</v>
      </c>
      <c r="V5" s="486"/>
      <c r="W5" s="486"/>
      <c r="X5" s="486"/>
      <c r="Y5" s="486"/>
    </row>
    <row r="6" spans="1:25" s="435" customFormat="1" x14ac:dyDescent="0.25">
      <c r="A6" s="443" t="s">
        <v>7</v>
      </c>
      <c r="B6" s="34">
        <v>41487</v>
      </c>
      <c r="C6" s="444">
        <f>9-2.83</f>
        <v>6.17</v>
      </c>
      <c r="D6" s="36">
        <v>0</v>
      </c>
      <c r="E6" s="37">
        <v>0</v>
      </c>
      <c r="F6" s="38" t="s">
        <v>2</v>
      </c>
      <c r="G6" s="39">
        <v>1.4</v>
      </c>
      <c r="H6" s="41" t="s">
        <v>3</v>
      </c>
      <c r="I6" s="41" t="s">
        <v>3</v>
      </c>
      <c r="J6" s="445" t="s">
        <v>3</v>
      </c>
      <c r="K6" s="446">
        <v>1</v>
      </c>
      <c r="L6" s="39">
        <f>C6</f>
        <v>6.17</v>
      </c>
      <c r="M6" s="47"/>
      <c r="N6" s="46"/>
      <c r="O6" s="41"/>
      <c r="P6" s="39">
        <f>G6</f>
        <v>1.4</v>
      </c>
      <c r="Q6" s="41">
        <f>Q19</f>
        <v>0.4366666666666667</v>
      </c>
      <c r="R6" s="446" t="s">
        <v>4</v>
      </c>
      <c r="S6" s="46">
        <f>((P6*Q6)-(P6*(1-(Q6/0.9)))*0.07)</f>
        <v>0.56088148148148154</v>
      </c>
      <c r="T6" s="56"/>
      <c r="U6" s="56">
        <f>S6</f>
        <v>0.56088148148148154</v>
      </c>
      <c r="V6" s="486"/>
      <c r="W6" s="486"/>
      <c r="X6" s="486"/>
      <c r="Y6" s="486"/>
    </row>
    <row r="7" spans="1:25" s="435" customFormat="1" x14ac:dyDescent="0.25">
      <c r="A7" s="48" t="s">
        <v>12</v>
      </c>
      <c r="B7" s="447">
        <v>41487</v>
      </c>
      <c r="C7" s="448">
        <f>6-1.83</f>
        <v>4.17</v>
      </c>
      <c r="D7" s="51">
        <v>0</v>
      </c>
      <c r="E7" s="52">
        <v>0</v>
      </c>
      <c r="F7" s="53" t="s">
        <v>2</v>
      </c>
      <c r="G7" s="54">
        <v>1.6</v>
      </c>
      <c r="H7" s="55" t="s">
        <v>3</v>
      </c>
      <c r="I7" s="55" t="s">
        <v>3</v>
      </c>
      <c r="J7" s="449" t="s">
        <v>3</v>
      </c>
      <c r="K7" s="450">
        <v>1</v>
      </c>
      <c r="L7" s="54">
        <f>C7</f>
        <v>4.17</v>
      </c>
      <c r="M7" s="47"/>
      <c r="N7" s="56"/>
      <c r="O7" s="55"/>
      <c r="P7" s="54">
        <f>G7</f>
        <v>1.6</v>
      </c>
      <c r="Q7" s="55">
        <f>Q19</f>
        <v>0.4366666666666667</v>
      </c>
      <c r="R7" s="450" t="s">
        <v>4</v>
      </c>
      <c r="S7" s="56">
        <f>((P7*Q7)-(P7*(1-(Q7/0.9)))*0.07)</f>
        <v>0.64100740740740747</v>
      </c>
      <c r="T7" s="56"/>
      <c r="U7" s="56">
        <f>S7</f>
        <v>0.64100740740740747</v>
      </c>
      <c r="V7" s="486"/>
      <c r="W7" s="486"/>
      <c r="X7" s="486"/>
      <c r="Y7" s="486"/>
    </row>
    <row r="8" spans="1:25" s="435" customFormat="1" x14ac:dyDescent="0.25">
      <c r="A8" s="61" t="s">
        <v>1</v>
      </c>
      <c r="B8" s="451">
        <v>41487</v>
      </c>
      <c r="C8" s="444">
        <f>(30/3.2808)-3.38</f>
        <v>5.7641111923920993</v>
      </c>
      <c r="D8" s="36">
        <v>0</v>
      </c>
      <c r="E8" s="37">
        <v>0</v>
      </c>
      <c r="F8" s="38" t="s">
        <v>2</v>
      </c>
      <c r="G8" s="39">
        <v>1.55</v>
      </c>
      <c r="H8" s="41" t="s">
        <v>3</v>
      </c>
      <c r="I8" s="41" t="s">
        <v>3</v>
      </c>
      <c r="J8" s="41">
        <v>7.0000000000000284E-2</v>
      </c>
      <c r="K8" s="446">
        <v>1</v>
      </c>
      <c r="L8" s="39">
        <f>C8</f>
        <v>5.7641111923920993</v>
      </c>
      <c r="M8" s="47"/>
      <c r="N8" s="46"/>
      <c r="O8" s="41"/>
      <c r="P8" s="39">
        <f>G8</f>
        <v>1.55</v>
      </c>
      <c r="Q8" s="41">
        <f>Q19</f>
        <v>0.4366666666666667</v>
      </c>
      <c r="R8" s="446" t="s">
        <v>4</v>
      </c>
      <c r="S8" s="46">
        <f>((P8*Q8)-(P8*(1-(Q8/0.9)))*0.07)</f>
        <v>0.62097592592592599</v>
      </c>
      <c r="T8" s="56">
        <v>-0.44402407407407396</v>
      </c>
      <c r="U8" s="56">
        <f>S8</f>
        <v>0.62097592592592599</v>
      </c>
      <c r="V8" s="486"/>
      <c r="W8" s="486"/>
      <c r="X8" s="486"/>
      <c r="Y8" s="486"/>
    </row>
    <row r="9" spans="1:25" s="435" customFormat="1" x14ac:dyDescent="0.25">
      <c r="A9" s="48" t="s">
        <v>5</v>
      </c>
      <c r="B9" s="447">
        <v>41487</v>
      </c>
      <c r="C9" s="50">
        <f>(30/3.2808)-3.63</f>
        <v>5.5141111923920993</v>
      </c>
      <c r="D9" s="53">
        <v>0</v>
      </c>
      <c r="E9" s="452">
        <v>0</v>
      </c>
      <c r="F9" s="53" t="s">
        <v>2</v>
      </c>
      <c r="G9" s="60">
        <v>1.25</v>
      </c>
      <c r="H9" s="55">
        <f>AVERAGE(1.83,1.8)</f>
        <v>1.8149999999999999</v>
      </c>
      <c r="I9" s="55">
        <f>AVERAGE(1.25,1.83,1.8)</f>
        <v>1.6266666666666667</v>
      </c>
      <c r="J9" s="55">
        <v>-0.49000000000000021</v>
      </c>
      <c r="K9" s="449">
        <v>3</v>
      </c>
      <c r="L9" s="54">
        <f>C9</f>
        <v>5.5141111923920993</v>
      </c>
      <c r="M9" s="47"/>
      <c r="N9" s="56"/>
      <c r="O9" s="55"/>
      <c r="P9" s="54">
        <f>I9</f>
        <v>1.6266666666666667</v>
      </c>
      <c r="Q9" s="55">
        <f>Q19</f>
        <v>0.4366666666666667</v>
      </c>
      <c r="R9" s="449" t="s">
        <v>4</v>
      </c>
      <c r="S9" s="56">
        <f>((P9*Q9)-(P9*(1-(Q9/0.9)))*0.07)</f>
        <v>0.65169086419753097</v>
      </c>
      <c r="T9" s="56">
        <v>-0.21830913580246902</v>
      </c>
      <c r="U9" s="56">
        <f>S9</f>
        <v>0.65169086419753097</v>
      </c>
      <c r="V9" s="486"/>
      <c r="W9" s="486"/>
      <c r="X9" s="486"/>
      <c r="Y9" s="486"/>
    </row>
    <row r="10" spans="1:25" s="465" customFormat="1" ht="15.75" thickBot="1" x14ac:dyDescent="0.3">
      <c r="A10" s="453" t="s">
        <v>6</v>
      </c>
      <c r="B10" s="454">
        <v>41487</v>
      </c>
      <c r="C10" s="455">
        <f>(30/3.2808)-3.76</f>
        <v>5.3841111923920995</v>
      </c>
      <c r="D10" s="456">
        <v>0</v>
      </c>
      <c r="E10" s="457">
        <v>0</v>
      </c>
      <c r="F10" s="458" t="s">
        <v>2</v>
      </c>
      <c r="G10" s="459">
        <v>1.32</v>
      </c>
      <c r="H10" s="460">
        <f>AVERAGE(1.83,1.84)</f>
        <v>1.835</v>
      </c>
      <c r="I10" s="460">
        <f>AVERAGE(1.32,1.83,1.84)</f>
        <v>1.6633333333333333</v>
      </c>
      <c r="J10" s="461">
        <v>-1.0000000000000675E-2</v>
      </c>
      <c r="K10" s="462">
        <v>3</v>
      </c>
      <c r="L10" s="459">
        <f>C10</f>
        <v>5.3841111923920995</v>
      </c>
      <c r="M10" s="463"/>
      <c r="N10" s="460"/>
      <c r="O10" s="461"/>
      <c r="P10" s="459">
        <f>I10</f>
        <v>1.6633333333333333</v>
      </c>
      <c r="Q10" s="461">
        <f>Q19</f>
        <v>0.4366666666666667</v>
      </c>
      <c r="R10" s="462" t="s">
        <v>4</v>
      </c>
      <c r="S10" s="460">
        <f>((P10*Q10)-(P10*(1-(Q10/0.9)))*0.07)</f>
        <v>0.6663806172839507</v>
      </c>
      <c r="T10" s="464">
        <v>-0.32886938271604926</v>
      </c>
      <c r="U10" s="464">
        <f>S10</f>
        <v>0.6663806172839507</v>
      </c>
      <c r="V10" s="486"/>
      <c r="W10" s="486"/>
      <c r="X10" s="486"/>
      <c r="Y10" s="486"/>
    </row>
    <row r="11" spans="1:25" s="435" customFormat="1" x14ac:dyDescent="0.25">
      <c r="A11" s="33" t="s">
        <v>7</v>
      </c>
      <c r="B11" s="34">
        <v>41797</v>
      </c>
      <c r="C11" s="35">
        <f>SIN(RADIANS(80))*(9-0.52)</f>
        <v>8.3511697455435243</v>
      </c>
      <c r="D11" s="36">
        <v>0</v>
      </c>
      <c r="E11" s="37">
        <v>0</v>
      </c>
      <c r="F11" s="38" t="s">
        <v>8</v>
      </c>
      <c r="G11" s="39">
        <v>2.8</v>
      </c>
      <c r="H11" s="40" t="s">
        <v>3</v>
      </c>
      <c r="I11" s="41" t="s">
        <v>3</v>
      </c>
      <c r="J11" s="41">
        <v>-0.61883025445647544</v>
      </c>
      <c r="K11" s="43">
        <v>1</v>
      </c>
      <c r="L11" s="39">
        <f>L6</f>
        <v>6.17</v>
      </c>
      <c r="M11" s="44"/>
      <c r="N11" s="45"/>
      <c r="O11" s="45"/>
      <c r="P11" s="39">
        <f>G11</f>
        <v>2.8</v>
      </c>
      <c r="Q11" s="41">
        <f>AVERAGE(Q14,Q12)</f>
        <v>0.41000387087905743</v>
      </c>
      <c r="R11" s="41" t="s">
        <v>4</v>
      </c>
      <c r="S11" s="46">
        <f>P11*Q11</f>
        <v>1.1480108384613608</v>
      </c>
      <c r="T11" s="39">
        <f>S11</f>
        <v>1.1480108384613608</v>
      </c>
      <c r="U11" s="47" t="s">
        <v>3</v>
      </c>
      <c r="V11" s="486"/>
      <c r="W11" s="486"/>
      <c r="X11" s="486"/>
      <c r="Y11" s="486"/>
    </row>
    <row r="12" spans="1:25" s="435" customFormat="1" x14ac:dyDescent="0.25">
      <c r="A12" s="48" t="str">
        <f>A7</f>
        <v>10-K17-6M</v>
      </c>
      <c r="B12" s="49">
        <v>41797</v>
      </c>
      <c r="C12" s="50" t="s">
        <v>9</v>
      </c>
      <c r="D12" s="51">
        <v>0</v>
      </c>
      <c r="E12" s="52">
        <v>0</v>
      </c>
      <c r="F12" s="53" t="s">
        <v>8</v>
      </c>
      <c r="G12" s="54">
        <v>2.73</v>
      </c>
      <c r="H12" s="55">
        <f>AVERAGE(2.69,3.1,3.15,3.23,2.72,2.93,2.69,2.81,3.17)</f>
        <v>2.9433333333333334</v>
      </c>
      <c r="I12" s="56">
        <f>AVERAGE(2.73,2.69,3.1,3.15,3.23,2.72,2.93,2.69,2.81,3.17)</f>
        <v>2.9219999999999997</v>
      </c>
      <c r="J12" s="55" t="s">
        <v>10</v>
      </c>
      <c r="K12" s="58">
        <v>10</v>
      </c>
      <c r="L12" s="54">
        <f>L7</f>
        <v>4.17</v>
      </c>
      <c r="M12" s="44"/>
      <c r="N12" s="59"/>
      <c r="O12" s="59"/>
      <c r="P12" s="54">
        <f>I12</f>
        <v>2.9219999999999997</v>
      </c>
      <c r="Q12" s="55">
        <v>0.37333333333333335</v>
      </c>
      <c r="R12" s="55" t="s">
        <v>11</v>
      </c>
      <c r="S12" s="56">
        <f>P12*Q12</f>
        <v>1.0908799999999998</v>
      </c>
      <c r="T12" s="54">
        <f>S12</f>
        <v>1.0908799999999998</v>
      </c>
      <c r="U12" s="60" t="s">
        <v>3</v>
      </c>
      <c r="V12" s="486"/>
      <c r="W12" s="486"/>
      <c r="X12" s="486"/>
      <c r="Y12" s="486"/>
    </row>
    <row r="13" spans="1:25" s="435" customFormat="1" x14ac:dyDescent="0.25">
      <c r="A13" s="61" t="s">
        <v>1</v>
      </c>
      <c r="B13" s="34">
        <v>41797</v>
      </c>
      <c r="C13" s="35">
        <f>SIN(RADIANS(80))*((30/3.2808)-0.7)</f>
        <v>8.3158261695649003</v>
      </c>
      <c r="D13" s="36">
        <v>0</v>
      </c>
      <c r="E13" s="37">
        <v>0</v>
      </c>
      <c r="F13" s="38" t="s">
        <v>8</v>
      </c>
      <c r="G13" s="39">
        <v>3.2</v>
      </c>
      <c r="H13" s="41" t="s">
        <v>3</v>
      </c>
      <c r="I13" s="41" t="s">
        <v>3</v>
      </c>
      <c r="J13" s="41">
        <v>-0.64828502282719924</v>
      </c>
      <c r="K13" s="43">
        <v>1</v>
      </c>
      <c r="L13" s="39">
        <f>L8</f>
        <v>5.7641111923920993</v>
      </c>
      <c r="M13" s="44"/>
      <c r="N13" s="45"/>
      <c r="O13" s="45"/>
      <c r="P13" s="39">
        <f>G13</f>
        <v>3.2</v>
      </c>
      <c r="Q13" s="41">
        <f>AVERAGE(Q12,Q14)</f>
        <v>0.41000387087905743</v>
      </c>
      <c r="R13" s="46" t="s">
        <v>4</v>
      </c>
      <c r="S13" s="46">
        <f>P13*Q13</f>
        <v>1.3120123868129838</v>
      </c>
      <c r="T13" s="39">
        <f>S13</f>
        <v>1.3120123868129838</v>
      </c>
      <c r="U13" s="47" t="s">
        <v>3</v>
      </c>
      <c r="V13" s="486"/>
      <c r="W13" s="486"/>
      <c r="X13" s="486"/>
      <c r="Y13" s="486"/>
    </row>
    <row r="14" spans="1:25" s="435" customFormat="1" x14ac:dyDescent="0.25">
      <c r="A14" s="48" t="s">
        <v>5</v>
      </c>
      <c r="B14" s="49">
        <v>41797</v>
      </c>
      <c r="C14" s="50">
        <f>SIN(RADIANS(80))*((30/3.2808)-1.8)</f>
        <v>7.2325376412514712</v>
      </c>
      <c r="D14" s="51">
        <v>0</v>
      </c>
      <c r="E14" s="52">
        <v>0</v>
      </c>
      <c r="F14" s="53" t="s">
        <v>8</v>
      </c>
      <c r="G14" s="54">
        <v>3.08</v>
      </c>
      <c r="H14" s="55">
        <f>AVERAGE(3.1,3.04,3.2,3.04,3.05,3.09,3.07,3.22,3.13)</f>
        <v>3.1044444444444443</v>
      </c>
      <c r="I14" s="56">
        <f>AVERAGE(3.08,3.1,3.04,3.2,3.04,3.05,3.09,3.07,3.22,3.13)</f>
        <v>3.1019999999999994</v>
      </c>
      <c r="J14" s="55">
        <v>-1.3615735511406282</v>
      </c>
      <c r="K14" s="58">
        <v>10</v>
      </c>
      <c r="L14" s="54">
        <f>L9</f>
        <v>5.5141111923920993</v>
      </c>
      <c r="M14" s="44"/>
      <c r="N14" s="59"/>
      <c r="O14" s="59"/>
      <c r="P14" s="54">
        <f>I14</f>
        <v>3.1019999999999994</v>
      </c>
      <c r="Q14" s="55">
        <v>0.44667440842478157</v>
      </c>
      <c r="R14" s="55" t="s">
        <v>11</v>
      </c>
      <c r="S14" s="56">
        <f>P14*Q14</f>
        <v>1.3855840149336722</v>
      </c>
      <c r="T14" s="54">
        <f>S14</f>
        <v>1.3855840149336722</v>
      </c>
      <c r="U14" s="60" t="s">
        <v>3</v>
      </c>
      <c r="V14" s="486"/>
      <c r="W14" s="486"/>
      <c r="X14" s="486"/>
      <c r="Y14" s="486"/>
    </row>
    <row r="15" spans="1:25" s="465" customFormat="1" ht="15.75" thickBot="1" x14ac:dyDescent="0.3">
      <c r="A15" s="466" t="s">
        <v>6</v>
      </c>
      <c r="B15" s="467">
        <v>41797</v>
      </c>
      <c r="C15" s="455">
        <f>(30/3.2808)-1.12</f>
        <v>8.0241111923920982</v>
      </c>
      <c r="D15" s="456">
        <v>0</v>
      </c>
      <c r="E15" s="457">
        <v>0</v>
      </c>
      <c r="F15" s="458" t="s">
        <v>8</v>
      </c>
      <c r="G15" s="459">
        <v>3.03</v>
      </c>
      <c r="H15" s="461" t="s">
        <v>3</v>
      </c>
      <c r="I15" s="461" t="s">
        <v>3</v>
      </c>
      <c r="J15" s="461">
        <v>-0.39000000000000057</v>
      </c>
      <c r="K15" s="468">
        <v>1</v>
      </c>
      <c r="L15" s="459">
        <f>L10</f>
        <v>5.3841111923920995</v>
      </c>
      <c r="M15" s="469"/>
      <c r="N15" s="470"/>
      <c r="O15" s="470"/>
      <c r="P15" s="459">
        <f>G15</f>
        <v>3.03</v>
      </c>
      <c r="Q15" s="461">
        <f>AVERAGE(Q14,Q12)</f>
        <v>0.41000387087905743</v>
      </c>
      <c r="R15" s="460" t="s">
        <v>4</v>
      </c>
      <c r="S15" s="460">
        <f>P15*Q15</f>
        <v>1.2423117287635439</v>
      </c>
      <c r="T15" s="459">
        <f>S15</f>
        <v>1.2423117287635439</v>
      </c>
      <c r="U15" s="471" t="s">
        <v>3</v>
      </c>
      <c r="V15" s="486"/>
      <c r="W15" s="486"/>
      <c r="X15" s="486"/>
      <c r="Y15" s="486"/>
    </row>
    <row r="16" spans="1:25" s="435" customFormat="1" x14ac:dyDescent="0.25">
      <c r="A16" s="61" t="s">
        <v>7</v>
      </c>
      <c r="B16" s="34">
        <v>41872</v>
      </c>
      <c r="C16" s="35">
        <f>9-1.57</f>
        <v>7.43</v>
      </c>
      <c r="D16" s="36">
        <v>0</v>
      </c>
      <c r="E16" s="37">
        <v>0</v>
      </c>
      <c r="F16" s="38" t="s">
        <v>2</v>
      </c>
      <c r="G16" s="47">
        <v>2.0499999999999998</v>
      </c>
      <c r="H16" s="41" t="s">
        <v>3</v>
      </c>
      <c r="I16" s="41" t="s">
        <v>3</v>
      </c>
      <c r="J16" s="41">
        <v>-0.79</v>
      </c>
      <c r="K16" s="446">
        <v>1</v>
      </c>
      <c r="L16" s="47">
        <f t="shared" ref="L16:L20" si="0">C16</f>
        <v>7.43</v>
      </c>
      <c r="M16" s="47">
        <f>M29</f>
        <v>0</v>
      </c>
      <c r="N16" s="46">
        <f t="shared" ref="N16:N20" si="1">L16*M16</f>
        <v>0</v>
      </c>
      <c r="O16" s="41">
        <f>N16-N11</f>
        <v>0</v>
      </c>
      <c r="P16" s="39">
        <f>G16</f>
        <v>2.0499999999999998</v>
      </c>
      <c r="Q16" s="41">
        <f>Q19</f>
        <v>0.4366666666666667</v>
      </c>
      <c r="R16" s="445" t="s">
        <v>4</v>
      </c>
      <c r="S16" s="46">
        <f>((P16*Q16)-(P16*(1-(Q16/0.9)))*0.07)</f>
        <v>0.82129074074074071</v>
      </c>
      <c r="T16" s="39">
        <f>-S16</f>
        <v>-0.82129074074074071</v>
      </c>
      <c r="U16" s="39">
        <f>T16+T11</f>
        <v>0.32672009772062005</v>
      </c>
      <c r="V16" s="486"/>
      <c r="W16" s="486"/>
      <c r="X16" s="486"/>
      <c r="Y16" s="486"/>
    </row>
    <row r="17" spans="1:25" s="435" customFormat="1" x14ac:dyDescent="0.25">
      <c r="A17" s="48" t="s">
        <v>12</v>
      </c>
      <c r="B17" s="49">
        <v>41872</v>
      </c>
      <c r="C17" s="50">
        <f>6-0.63</f>
        <v>5.37</v>
      </c>
      <c r="D17" s="51">
        <v>0</v>
      </c>
      <c r="E17" s="52">
        <v>0</v>
      </c>
      <c r="F17" s="53" t="s">
        <v>13</v>
      </c>
      <c r="G17" s="60">
        <v>2</v>
      </c>
      <c r="H17" s="55" t="s">
        <v>3</v>
      </c>
      <c r="I17" s="55" t="s">
        <v>3</v>
      </c>
      <c r="J17" s="55">
        <v>-0.79999999999999982</v>
      </c>
      <c r="K17" s="450">
        <v>1</v>
      </c>
      <c r="L17" s="60">
        <f t="shared" si="0"/>
        <v>5.37</v>
      </c>
      <c r="M17" s="60">
        <f>M29</f>
        <v>0</v>
      </c>
      <c r="N17" s="56">
        <f t="shared" si="1"/>
        <v>0</v>
      </c>
      <c r="O17" s="55">
        <f>N17-N12</f>
        <v>0</v>
      </c>
      <c r="P17" s="54">
        <f>G17</f>
        <v>2</v>
      </c>
      <c r="Q17" s="55">
        <f>Q19</f>
        <v>0.4366666666666667</v>
      </c>
      <c r="R17" s="450" t="s">
        <v>4</v>
      </c>
      <c r="S17" s="56">
        <f>((P17*Q17)-(P17*(1-(Q17/0.9)))*0.07)</f>
        <v>0.80125925925925934</v>
      </c>
      <c r="T17" s="54">
        <f>-S17</f>
        <v>-0.80125925925925934</v>
      </c>
      <c r="U17" s="54">
        <f>T17+T12</f>
        <v>0.28962074074074051</v>
      </c>
      <c r="V17" s="486"/>
      <c r="W17" s="486"/>
      <c r="X17" s="486"/>
      <c r="Y17" s="486"/>
    </row>
    <row r="18" spans="1:25" s="435" customFormat="1" x14ac:dyDescent="0.25">
      <c r="A18" s="48" t="s">
        <v>1</v>
      </c>
      <c r="B18" s="49">
        <v>41872</v>
      </c>
      <c r="C18" s="50">
        <f>(30/3.2808)-1.76</f>
        <v>7.3841111923920995</v>
      </c>
      <c r="D18" s="51">
        <v>0</v>
      </c>
      <c r="E18" s="52">
        <v>0</v>
      </c>
      <c r="F18" s="53" t="s">
        <v>13</v>
      </c>
      <c r="G18" s="60">
        <v>2.2400000000000002</v>
      </c>
      <c r="H18" s="55" t="s">
        <v>3</v>
      </c>
      <c r="I18" s="55" t="s">
        <v>3</v>
      </c>
      <c r="J18" s="55">
        <v>-0.62000000000000011</v>
      </c>
      <c r="K18" s="450">
        <v>1</v>
      </c>
      <c r="L18" s="60">
        <f t="shared" si="0"/>
        <v>7.3841111923920995</v>
      </c>
      <c r="M18" s="60">
        <f>M29</f>
        <v>0</v>
      </c>
      <c r="N18" s="56">
        <f t="shared" si="1"/>
        <v>0</v>
      </c>
      <c r="O18" s="55">
        <f>N18-N13</f>
        <v>0</v>
      </c>
      <c r="P18" s="54">
        <f>G18</f>
        <v>2.2400000000000002</v>
      </c>
      <c r="Q18" s="55">
        <f>Q19</f>
        <v>0.4366666666666667</v>
      </c>
      <c r="R18" s="450" t="s">
        <v>4</v>
      </c>
      <c r="S18" s="56">
        <f>((P18*Q18)-(P18*(1-(Q18/0.9)))*0.07)</f>
        <v>0.89741037037037052</v>
      </c>
      <c r="T18" s="54">
        <f>-S18</f>
        <v>-0.89741037037037052</v>
      </c>
      <c r="U18" s="54">
        <f>T18+T13</f>
        <v>0.4146020164426133</v>
      </c>
      <c r="V18" s="486"/>
      <c r="W18" s="486"/>
      <c r="X18" s="486"/>
      <c r="Y18" s="486"/>
    </row>
    <row r="19" spans="1:25" s="435" customFormat="1" x14ac:dyDescent="0.25">
      <c r="A19" s="48" t="s">
        <v>5</v>
      </c>
      <c r="B19" s="49">
        <v>41872</v>
      </c>
      <c r="C19" s="50">
        <f>(30/3.2808)-2.1</f>
        <v>7.0441111923920996</v>
      </c>
      <c r="D19" s="51">
        <v>0</v>
      </c>
      <c r="E19" s="52">
        <v>0</v>
      </c>
      <c r="F19" s="53" t="s">
        <v>13</v>
      </c>
      <c r="G19" s="60">
        <v>2.09</v>
      </c>
      <c r="H19" s="56">
        <f>AVERAGE(2.18,2.05,2.22,2.07,2,2.19,2.05,2.2,2.03)</f>
        <v>2.1100000000000003</v>
      </c>
      <c r="I19" s="56">
        <f>AVERAGE(2.09,2.18,2.05,2.22,2.07,2,2.19,2.05,2.2,2.03)</f>
        <v>2.1079999999999997</v>
      </c>
      <c r="J19" s="55">
        <v>-0.55999999999999961</v>
      </c>
      <c r="K19" s="450">
        <v>10</v>
      </c>
      <c r="L19" s="60">
        <f t="shared" si="0"/>
        <v>7.0441111923920996</v>
      </c>
      <c r="M19" s="60">
        <f>M29</f>
        <v>0</v>
      </c>
      <c r="N19" s="56">
        <f t="shared" si="1"/>
        <v>0</v>
      </c>
      <c r="O19" s="55">
        <f>N19-N14</f>
        <v>0</v>
      </c>
      <c r="P19" s="54">
        <f>I19</f>
        <v>2.1079999999999997</v>
      </c>
      <c r="Q19" s="55">
        <v>0.4366666666666667</v>
      </c>
      <c r="R19" s="449" t="s">
        <v>11</v>
      </c>
      <c r="S19" s="56">
        <f>((P19*Q19)-(P19*(1-(Q19/0.9)))*0.07)</f>
        <v>0.8445272592592592</v>
      </c>
      <c r="T19" s="54">
        <f>-S19</f>
        <v>-0.8445272592592592</v>
      </c>
      <c r="U19" s="54">
        <f>T19+T14</f>
        <v>0.54105675567441303</v>
      </c>
      <c r="V19" s="486"/>
      <c r="W19" s="486"/>
      <c r="X19" s="486"/>
      <c r="Y19" s="486"/>
    </row>
    <row r="20" spans="1:25" s="465" customFormat="1" ht="15.75" thickBot="1" x14ac:dyDescent="0.3">
      <c r="A20" s="466" t="s">
        <v>6</v>
      </c>
      <c r="B20" s="467">
        <v>41872</v>
      </c>
      <c r="C20" s="455">
        <f>(30/3.2808)-2.07</f>
        <v>7.074111192392099</v>
      </c>
      <c r="D20" s="456">
        <v>0</v>
      </c>
      <c r="E20" s="457">
        <v>0</v>
      </c>
      <c r="F20" s="458" t="s">
        <v>13</v>
      </c>
      <c r="G20" s="471">
        <v>2.48</v>
      </c>
      <c r="H20" s="461" t="s">
        <v>3</v>
      </c>
      <c r="I20" s="461" t="s">
        <v>3</v>
      </c>
      <c r="J20" s="461">
        <v>-0.79000000000000092</v>
      </c>
      <c r="K20" s="462">
        <v>1</v>
      </c>
      <c r="L20" s="471">
        <f t="shared" si="0"/>
        <v>7.074111192392099</v>
      </c>
      <c r="M20" s="471">
        <f>M29</f>
        <v>0</v>
      </c>
      <c r="N20" s="460">
        <f t="shared" si="1"/>
        <v>0</v>
      </c>
      <c r="O20" s="461">
        <f>N20-N15</f>
        <v>0</v>
      </c>
      <c r="P20" s="459">
        <f>G20</f>
        <v>2.48</v>
      </c>
      <c r="Q20" s="461">
        <f>Q19</f>
        <v>0.4366666666666667</v>
      </c>
      <c r="R20" s="462" t="s">
        <v>4</v>
      </c>
      <c r="S20" s="460">
        <f>((P20*Q20)-(P20*(1-(Q20/0.9)))*0.07)</f>
        <v>0.99356148148148171</v>
      </c>
      <c r="T20" s="459">
        <f>-S20</f>
        <v>-0.99356148148148171</v>
      </c>
      <c r="U20" s="459">
        <f>T20+T15</f>
        <v>0.24875024728206219</v>
      </c>
      <c r="V20" s="486"/>
      <c r="W20" s="486"/>
      <c r="X20" s="486"/>
      <c r="Y20" s="486"/>
    </row>
    <row r="21" spans="1:25" x14ac:dyDescent="0.25">
      <c r="V21" s="486"/>
      <c r="W21" s="486"/>
      <c r="X21" s="486"/>
      <c r="Y21" s="486"/>
    </row>
    <row r="22" spans="1:25" ht="16.5" thickBot="1" x14ac:dyDescent="0.3">
      <c r="A22" s="130" t="s">
        <v>58</v>
      </c>
      <c r="B22" s="131"/>
      <c r="C22" s="132"/>
      <c r="D22" s="133"/>
      <c r="E22" s="133"/>
      <c r="F22" s="134"/>
      <c r="G22" s="134"/>
      <c r="H22" s="134"/>
      <c r="I22" s="134"/>
      <c r="J22" s="135"/>
      <c r="K22" s="136"/>
      <c r="L22" s="137"/>
      <c r="M22" s="138"/>
      <c r="N22" s="137"/>
      <c r="O22" s="137"/>
      <c r="P22" s="135"/>
      <c r="Q22" s="135"/>
      <c r="R22" s="134"/>
      <c r="S22" s="135"/>
      <c r="T22" s="139"/>
      <c r="U22" s="140"/>
      <c r="V22" s="141"/>
      <c r="W22" s="141"/>
      <c r="X22" s="142"/>
      <c r="Y22" s="141"/>
    </row>
    <row r="23" spans="1:25" x14ac:dyDescent="0.25">
      <c r="A23" s="143"/>
      <c r="B23" s="144"/>
      <c r="C23" s="517" t="s">
        <v>14</v>
      </c>
      <c r="D23" s="518"/>
      <c r="E23" s="519"/>
      <c r="F23" s="144"/>
      <c r="G23" s="520" t="s">
        <v>15</v>
      </c>
      <c r="H23" s="521"/>
      <c r="I23" s="521"/>
      <c r="J23" s="521"/>
      <c r="K23" s="522"/>
      <c r="L23" s="145"/>
      <c r="M23" s="146"/>
      <c r="N23" s="147" t="s">
        <v>59</v>
      </c>
      <c r="O23" s="148"/>
      <c r="P23" s="149"/>
      <c r="Q23" s="147" t="s">
        <v>60</v>
      </c>
      <c r="R23" s="147"/>
      <c r="S23" s="148"/>
      <c r="T23" s="150" t="s">
        <v>61</v>
      </c>
      <c r="U23" s="147"/>
      <c r="V23" s="151"/>
      <c r="W23" s="151"/>
      <c r="X23" s="151"/>
      <c r="Y23" s="152"/>
    </row>
    <row r="24" spans="1:25" ht="33.75" x14ac:dyDescent="0.25">
      <c r="A24" s="143" t="s">
        <v>21</v>
      </c>
      <c r="B24" s="143" t="s">
        <v>22</v>
      </c>
      <c r="C24" s="153" t="s">
        <v>62</v>
      </c>
      <c r="D24" s="154" t="s">
        <v>63</v>
      </c>
      <c r="E24" s="155" t="s">
        <v>64</v>
      </c>
      <c r="F24" s="143" t="s">
        <v>25</v>
      </c>
      <c r="G24" s="156" t="s">
        <v>65</v>
      </c>
      <c r="H24" s="157"/>
      <c r="I24" s="157" t="s">
        <v>28</v>
      </c>
      <c r="J24" s="157"/>
      <c r="K24" s="158"/>
      <c r="L24" s="159" t="s">
        <v>66</v>
      </c>
      <c r="M24" s="146" t="s">
        <v>31</v>
      </c>
      <c r="N24" s="160" t="s">
        <v>67</v>
      </c>
      <c r="O24" s="161"/>
      <c r="P24" s="146" t="s">
        <v>33</v>
      </c>
      <c r="Q24" s="162" t="s">
        <v>34</v>
      </c>
      <c r="R24" s="160" t="s">
        <v>68</v>
      </c>
      <c r="S24" s="161"/>
      <c r="T24" s="163" t="s">
        <v>69</v>
      </c>
      <c r="U24" s="164" t="s">
        <v>70</v>
      </c>
      <c r="V24" s="164" t="s">
        <v>71</v>
      </c>
      <c r="W24" s="165" t="s">
        <v>72</v>
      </c>
      <c r="X24" s="165" t="s">
        <v>73</v>
      </c>
      <c r="Y24" s="166" t="s">
        <v>74</v>
      </c>
    </row>
    <row r="25" spans="1:25" x14ac:dyDescent="0.25">
      <c r="A25" s="143" t="s">
        <v>38</v>
      </c>
      <c r="B25" s="143"/>
      <c r="C25" s="153"/>
      <c r="D25" s="154"/>
      <c r="E25" s="155"/>
      <c r="F25" s="144"/>
      <c r="G25" s="156"/>
      <c r="H25" s="157"/>
      <c r="I25" s="157"/>
      <c r="J25" s="157"/>
      <c r="K25" s="158"/>
      <c r="L25" s="143"/>
      <c r="M25" s="146"/>
      <c r="N25" s="167" t="s">
        <v>75</v>
      </c>
      <c r="O25" s="161"/>
      <c r="P25" s="146" t="s">
        <v>42</v>
      </c>
      <c r="Q25" s="168" t="s">
        <v>44</v>
      </c>
      <c r="R25" s="167"/>
      <c r="S25" s="161"/>
      <c r="T25" s="150"/>
      <c r="U25" s="147"/>
      <c r="V25" s="147"/>
      <c r="W25" s="169"/>
      <c r="X25" s="169"/>
      <c r="Y25" s="148"/>
    </row>
    <row r="26" spans="1:25" ht="15.75" thickBot="1" x14ac:dyDescent="0.3">
      <c r="A26" s="170"/>
      <c r="B26" s="170" t="s">
        <v>51</v>
      </c>
      <c r="C26" s="171" t="s">
        <v>52</v>
      </c>
      <c r="D26" s="172" t="s">
        <v>52</v>
      </c>
      <c r="E26" s="173" t="s">
        <v>52</v>
      </c>
      <c r="F26" s="174"/>
      <c r="G26" s="175" t="s">
        <v>52</v>
      </c>
      <c r="H26" s="176"/>
      <c r="I26" s="176" t="s">
        <v>53</v>
      </c>
      <c r="J26" s="176"/>
      <c r="K26" s="177"/>
      <c r="L26" s="170" t="s">
        <v>52</v>
      </c>
      <c r="M26" s="178" t="s">
        <v>76</v>
      </c>
      <c r="N26" s="179" t="s">
        <v>52</v>
      </c>
      <c r="O26" s="180"/>
      <c r="P26" s="178" t="s">
        <v>52</v>
      </c>
      <c r="Q26" s="181" t="s">
        <v>55</v>
      </c>
      <c r="R26" s="179"/>
      <c r="S26" s="180"/>
      <c r="T26" s="182" t="s">
        <v>77</v>
      </c>
      <c r="U26" s="183" t="s">
        <v>77</v>
      </c>
      <c r="V26" s="183" t="s">
        <v>77</v>
      </c>
      <c r="W26" s="183" t="s">
        <v>77</v>
      </c>
      <c r="X26" s="183" t="s">
        <v>77</v>
      </c>
      <c r="Y26" s="184"/>
    </row>
    <row r="27" spans="1:25" s="322" customFormat="1" ht="11.25" x14ac:dyDescent="0.2">
      <c r="A27" s="472" t="s">
        <v>168</v>
      </c>
      <c r="B27" s="473">
        <v>41487</v>
      </c>
      <c r="C27" s="474">
        <v>9.14</v>
      </c>
      <c r="D27" s="474">
        <v>3.76</v>
      </c>
      <c r="E27" s="474">
        <v>5.3800000000000008</v>
      </c>
      <c r="F27" s="311" t="s">
        <v>79</v>
      </c>
      <c r="G27" s="308">
        <v>1.32</v>
      </c>
      <c r="H27" s="308"/>
      <c r="I27" s="476">
        <v>1.6633333333333333</v>
      </c>
      <c r="J27" s="308"/>
      <c r="K27" s="312"/>
      <c r="L27" s="308">
        <v>4.0600000000000005</v>
      </c>
      <c r="M27" s="308"/>
      <c r="N27" s="308"/>
      <c r="O27" s="308"/>
      <c r="P27" s="476">
        <v>1.6633333333333333</v>
      </c>
      <c r="Q27" s="479">
        <v>0.5</v>
      </c>
      <c r="R27" s="308" t="s">
        <v>4</v>
      </c>
      <c r="S27" s="308"/>
      <c r="T27" s="477"/>
      <c r="U27" s="477"/>
      <c r="V27" s="477"/>
      <c r="W27" s="477"/>
      <c r="X27" s="477">
        <v>0</v>
      </c>
      <c r="Y27" s="313"/>
    </row>
    <row r="28" spans="1:25" s="324" customFormat="1" ht="11.25" x14ac:dyDescent="0.2">
      <c r="A28" s="475" t="s">
        <v>168</v>
      </c>
      <c r="B28" s="354">
        <v>41797</v>
      </c>
      <c r="C28" s="355">
        <v>9.14</v>
      </c>
      <c r="D28" s="355">
        <v>1.1200000000000001</v>
      </c>
      <c r="E28" s="355">
        <f>C28-D28</f>
        <v>8.02</v>
      </c>
      <c r="F28" s="327" t="s">
        <v>8</v>
      </c>
      <c r="G28" s="326">
        <f>'Probe13-K17C_2014.06.07'!I3</f>
        <v>3.03</v>
      </c>
      <c r="L28" s="478">
        <f>E28-G28</f>
        <v>4.99</v>
      </c>
      <c r="N28" s="325"/>
      <c r="P28" s="325">
        <f>G28</f>
        <v>3.03</v>
      </c>
      <c r="Q28" s="326">
        <f>AVERAGE('FedSampCores13-K17B_2014.06.07'!I4, 'FedSampCores10-K17_2014.06.07'!I4)</f>
        <v>0.39541138105300394</v>
      </c>
      <c r="R28" s="324" t="s">
        <v>11</v>
      </c>
      <c r="S28" s="326">
        <f>'FedSampCores13-K17B_2014.06.07'!O11</f>
        <v>0.91708575112830448</v>
      </c>
      <c r="U28" s="326">
        <f>P28*Q28</f>
        <v>1.1980964845906019</v>
      </c>
      <c r="W28" s="325">
        <f>(L28-E27)*Q27</f>
        <v>-0.19500000000000028</v>
      </c>
    </row>
    <row r="29" spans="1:25" s="318" customFormat="1" ht="11.25" x14ac:dyDescent="0.2">
      <c r="A29" s="472" t="s">
        <v>168</v>
      </c>
      <c r="B29" s="186">
        <v>41872</v>
      </c>
      <c r="C29" s="187">
        <v>9.14</v>
      </c>
      <c r="D29" s="187">
        <v>2.0699999999999998</v>
      </c>
      <c r="E29" s="187">
        <f>C29-D29</f>
        <v>7.07</v>
      </c>
      <c r="F29" s="318" t="s">
        <v>79</v>
      </c>
      <c r="G29" s="319">
        <f>'Probe13-K17C_2014.08.21'!B4</f>
        <v>2.48</v>
      </c>
      <c r="I29" s="319"/>
      <c r="L29" s="319">
        <f>E29-G29</f>
        <v>4.59</v>
      </c>
      <c r="N29" s="320"/>
      <c r="P29" s="320">
        <f>E29-E27</f>
        <v>1.6899999999999995</v>
      </c>
      <c r="Q29" s="479">
        <v>0.5</v>
      </c>
      <c r="R29" s="318" t="s">
        <v>4</v>
      </c>
      <c r="T29" s="319">
        <f>V29-U28</f>
        <v>-0.35309648459060217</v>
      </c>
      <c r="V29" s="319">
        <f>P29*Q29</f>
        <v>0.84499999999999975</v>
      </c>
      <c r="X29" s="321" t="s">
        <v>114</v>
      </c>
      <c r="Y29" s="480" t="s">
        <v>172</v>
      </c>
    </row>
    <row r="30" spans="1:25" ht="15.75" thickBot="1" x14ac:dyDescent="0.3"/>
    <row r="31" spans="1:25" x14ac:dyDescent="0.25">
      <c r="A31" s="511" t="s">
        <v>138</v>
      </c>
      <c r="B31" s="512"/>
      <c r="C31" s="515" t="s">
        <v>139</v>
      </c>
      <c r="D31" s="516"/>
      <c r="E31" s="328" t="s">
        <v>140</v>
      </c>
      <c r="F31" s="329"/>
      <c r="G31" s="328" t="s">
        <v>141</v>
      </c>
      <c r="H31" s="329"/>
      <c r="I31" s="330" t="s">
        <v>142</v>
      </c>
    </row>
    <row r="32" spans="1:25" x14ac:dyDescent="0.25">
      <c r="A32" s="513"/>
      <c r="B32" s="514"/>
      <c r="C32" s="331" t="s">
        <v>143</v>
      </c>
      <c r="D32" s="331" t="s">
        <v>144</v>
      </c>
      <c r="E32" s="332">
        <f>B27</f>
        <v>41487</v>
      </c>
      <c r="F32" s="333" t="s">
        <v>145</v>
      </c>
      <c r="G32" s="334">
        <f>B28</f>
        <v>41797</v>
      </c>
      <c r="H32" s="333" t="s">
        <v>145</v>
      </c>
      <c r="I32" s="335">
        <f>B29</f>
        <v>41872</v>
      </c>
    </row>
    <row r="33" spans="1:9" x14ac:dyDescent="0.25">
      <c r="A33" s="336"/>
      <c r="B33" s="346" t="s">
        <v>146</v>
      </c>
      <c r="C33" s="337">
        <f>U28</f>
        <v>1.1980964845906019</v>
      </c>
      <c r="D33" s="337" t="s">
        <v>114</v>
      </c>
      <c r="E33" s="338"/>
      <c r="F33" s="338"/>
      <c r="G33" s="339"/>
      <c r="H33" s="337"/>
      <c r="I33" s="340"/>
    </row>
    <row r="34" spans="1:9" x14ac:dyDescent="0.25">
      <c r="A34" s="336"/>
      <c r="B34" s="346" t="s">
        <v>147</v>
      </c>
      <c r="C34" s="337">
        <f>T29</f>
        <v>-0.35309648459060217</v>
      </c>
      <c r="D34" s="337"/>
      <c r="E34" s="338"/>
      <c r="F34" s="338"/>
      <c r="G34" s="339"/>
      <c r="H34" s="337"/>
      <c r="I34" s="340"/>
    </row>
    <row r="35" spans="1:9" x14ac:dyDescent="0.25">
      <c r="A35" s="336"/>
      <c r="B35" s="346" t="s">
        <v>148</v>
      </c>
      <c r="C35" s="337">
        <f>V29</f>
        <v>0.84499999999999975</v>
      </c>
      <c r="D35" s="337"/>
      <c r="E35" s="338"/>
      <c r="F35" s="338"/>
      <c r="G35" s="339"/>
      <c r="H35" s="337"/>
      <c r="I35" s="340"/>
    </row>
    <row r="36" spans="1:9" x14ac:dyDescent="0.25">
      <c r="A36" s="336"/>
      <c r="B36" s="347" t="s">
        <v>149</v>
      </c>
      <c r="C36" s="337">
        <f>X27</f>
        <v>0</v>
      </c>
      <c r="D36" s="337"/>
      <c r="E36" s="338"/>
      <c r="F36" s="338"/>
      <c r="G36" s="337"/>
      <c r="H36" s="337"/>
      <c r="I36" s="340"/>
    </row>
    <row r="37" spans="1:9" x14ac:dyDescent="0.25">
      <c r="A37" s="336"/>
      <c r="B37" s="348" t="s">
        <v>150</v>
      </c>
      <c r="C37" s="337">
        <f>W28</f>
        <v>-0.19500000000000028</v>
      </c>
      <c r="D37" s="337"/>
      <c r="E37" s="338"/>
      <c r="F37" s="338"/>
      <c r="G37" s="337"/>
      <c r="H37" s="337"/>
      <c r="I37" s="340"/>
    </row>
    <row r="38" spans="1:9" ht="15.75" thickBot="1" x14ac:dyDescent="0.3">
      <c r="A38" s="341"/>
      <c r="B38" s="349" t="s">
        <v>151</v>
      </c>
      <c r="C38" s="342" t="str">
        <f>X29</f>
        <v>NA</v>
      </c>
      <c r="D38" s="342"/>
      <c r="E38" s="343"/>
      <c r="F38" s="343"/>
      <c r="G38" s="344"/>
      <c r="H38" s="344"/>
      <c r="I38" s="345"/>
    </row>
  </sheetData>
  <mergeCells count="8">
    <mergeCell ref="A31:B32"/>
    <mergeCell ref="C31:D31"/>
    <mergeCell ref="C2:E2"/>
    <mergeCell ref="M2:O2"/>
    <mergeCell ref="P2:S2"/>
    <mergeCell ref="D3:E3"/>
    <mergeCell ref="C23:E23"/>
    <mergeCell ref="G23:K23"/>
  </mergeCells>
  <pageMargins left="0.7" right="0.7" top="0.75" bottom="0.75" header="0.3" footer="0.3"/>
  <pageSetup orientation="portrait" verticalDpi="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3B666-FA63-4D5D-83A5-296CEF3209DD}">
  <dimension ref="A1:Z153"/>
  <sheetViews>
    <sheetView workbookViewId="0">
      <selection activeCell="H26" sqref="H26"/>
    </sheetView>
  </sheetViews>
  <sheetFormatPr defaultColWidth="7.85546875" defaultRowHeight="11.25" x14ac:dyDescent="0.2"/>
  <cols>
    <col min="1" max="1" width="22.7109375" style="188" customWidth="1"/>
    <col min="2" max="2" width="22" style="188" customWidth="1"/>
    <col min="3" max="3" width="15.42578125" style="290" customWidth="1"/>
    <col min="4" max="4" width="14.28515625" style="290" customWidth="1"/>
    <col min="5" max="5" width="11.85546875" style="290" customWidth="1"/>
    <col min="6" max="6" width="18.28515625" style="290" customWidth="1"/>
    <col min="7" max="7" width="13.7109375" style="241" customWidth="1"/>
    <col min="8" max="8" width="18.7109375" style="278" customWidth="1"/>
    <col min="9" max="9" width="10.7109375" style="241" customWidth="1"/>
    <col min="10" max="10" width="8.5703125" style="241" customWidth="1"/>
    <col min="11" max="11" width="13.5703125" style="248" customWidth="1"/>
    <col min="12" max="12" width="7" style="280" customWidth="1"/>
    <col min="13" max="13" width="10.28515625" style="188" customWidth="1"/>
    <col min="14" max="14" width="5.7109375" style="188" bestFit="1" customWidth="1"/>
    <col min="15" max="15" width="16.5703125" style="243" customWidth="1"/>
    <col min="16" max="16" width="5.85546875" style="289" bestFit="1" customWidth="1"/>
    <col min="17" max="17" width="14" style="244" bestFit="1" customWidth="1"/>
    <col min="18" max="18" width="6" style="244" bestFit="1" customWidth="1"/>
    <col min="19" max="19" width="8.7109375" style="244" bestFit="1" customWidth="1"/>
    <col min="20" max="21" width="17.28515625" style="188" bestFit="1" customWidth="1"/>
    <col min="22" max="22" width="9.28515625" style="188" bestFit="1" customWidth="1"/>
    <col min="23" max="27" width="5.28515625" style="188" customWidth="1"/>
    <col min="28" max="28" width="17" style="188" customWidth="1"/>
    <col min="29" max="16384" width="7.85546875" style="188"/>
  </cols>
  <sheetData>
    <row r="1" spans="1:24" s="218" customFormat="1" ht="12.75" x14ac:dyDescent="0.2">
      <c r="A1" s="210" t="s">
        <v>81</v>
      </c>
      <c r="B1" s="211" t="s">
        <v>82</v>
      </c>
      <c r="C1" s="212"/>
      <c r="D1" s="211"/>
      <c r="E1" s="213"/>
      <c r="F1" s="213"/>
      <c r="G1" s="214"/>
      <c r="H1" s="215" t="s">
        <v>83</v>
      </c>
      <c r="I1" s="216">
        <f>MAX(A12:A14)*2.54/100</f>
        <v>0</v>
      </c>
      <c r="J1" s="217" t="s">
        <v>84</v>
      </c>
      <c r="K1" s="211"/>
      <c r="L1" s="211"/>
      <c r="N1" s="219"/>
      <c r="P1" s="220"/>
      <c r="Q1" s="220"/>
      <c r="R1" s="220"/>
      <c r="S1" s="220"/>
    </row>
    <row r="2" spans="1:24" s="218" customFormat="1" ht="12.75" x14ac:dyDescent="0.2">
      <c r="A2" s="221" t="s">
        <v>85</v>
      </c>
      <c r="B2" s="211" t="s">
        <v>115</v>
      </c>
      <c r="C2" s="222"/>
      <c r="D2" s="211"/>
      <c r="E2" s="223"/>
      <c r="F2" s="223"/>
      <c r="G2" s="224"/>
      <c r="H2" s="225" t="s">
        <v>86</v>
      </c>
      <c r="I2" s="226">
        <f>I12/100</f>
        <v>2</v>
      </c>
      <c r="J2" s="227" t="s">
        <v>87</v>
      </c>
      <c r="K2" s="211"/>
      <c r="L2" s="211"/>
      <c r="N2" s="228"/>
      <c r="P2" s="220"/>
      <c r="Q2" s="220"/>
      <c r="R2" s="220"/>
      <c r="S2" s="220"/>
    </row>
    <row r="3" spans="1:24" s="231" customFormat="1" ht="11.25" customHeight="1" x14ac:dyDescent="0.2">
      <c r="A3" s="229" t="s">
        <v>88</v>
      </c>
      <c r="B3" s="230">
        <v>41872</v>
      </c>
      <c r="C3" s="222"/>
      <c r="D3" s="223"/>
      <c r="E3" s="223"/>
      <c r="F3" s="223"/>
      <c r="G3" s="224"/>
      <c r="H3" s="229" t="s">
        <v>89</v>
      </c>
      <c r="I3" s="226">
        <f>AVERAGE(I12:I21)/100</f>
        <v>2</v>
      </c>
      <c r="J3" s="227"/>
      <c r="K3" s="211"/>
      <c r="L3" s="211"/>
      <c r="N3" s="232"/>
      <c r="P3" s="233"/>
      <c r="Q3" s="233"/>
      <c r="R3" s="233"/>
      <c r="S3" s="233"/>
    </row>
    <row r="4" spans="1:24" s="218" customFormat="1" ht="12.75" x14ac:dyDescent="0.2">
      <c r="A4" s="229" t="s">
        <v>90</v>
      </c>
      <c r="B4" s="234" t="s">
        <v>158</v>
      </c>
      <c r="C4" s="222"/>
      <c r="D4" s="223"/>
      <c r="E4" s="223"/>
      <c r="F4" s="223"/>
      <c r="G4" s="224"/>
      <c r="H4" s="229" t="s">
        <v>91</v>
      </c>
      <c r="I4" s="226" t="s">
        <v>114</v>
      </c>
      <c r="J4" s="227"/>
      <c r="K4" s="211"/>
      <c r="L4" s="211"/>
      <c r="M4" s="219"/>
      <c r="N4" s="219"/>
      <c r="P4" s="220"/>
      <c r="Q4" s="220"/>
      <c r="R4" s="220"/>
      <c r="S4" s="220"/>
    </row>
    <row r="5" spans="1:24" s="239" customFormat="1" ht="12.75" x14ac:dyDescent="0.2">
      <c r="A5" s="221" t="s">
        <v>92</v>
      </c>
      <c r="B5" s="235" t="s">
        <v>93</v>
      </c>
      <c r="C5" s="222"/>
      <c r="D5" s="223"/>
      <c r="E5" s="223"/>
      <c r="F5" s="236"/>
      <c r="G5" s="236"/>
      <c r="H5" s="229"/>
      <c r="I5" s="237"/>
      <c r="J5" s="227"/>
      <c r="K5" s="211"/>
      <c r="L5" s="211"/>
      <c r="M5" s="238"/>
      <c r="N5" s="238"/>
      <c r="P5" s="240"/>
      <c r="Q5" s="240"/>
      <c r="R5" s="240"/>
      <c r="S5" s="240"/>
    </row>
    <row r="6" spans="1:24" x14ac:dyDescent="0.2">
      <c r="A6" s="241"/>
      <c r="B6" s="241"/>
      <c r="C6" s="241"/>
      <c r="D6" s="241"/>
      <c r="E6" s="242"/>
      <c r="F6" s="238"/>
      <c r="G6" s="238"/>
      <c r="H6" s="243"/>
      <c r="I6" s="243"/>
      <c r="J6" s="188"/>
      <c r="K6" s="188"/>
      <c r="L6" s="243"/>
      <c r="M6" s="243"/>
      <c r="O6" s="188"/>
      <c r="P6" s="244"/>
    </row>
    <row r="7" spans="1:24" x14ac:dyDescent="0.2">
      <c r="A7" s="241"/>
      <c r="B7" s="241"/>
      <c r="C7" s="241"/>
      <c r="D7" s="241"/>
      <c r="E7" s="242"/>
      <c r="F7" s="245"/>
      <c r="G7" s="246"/>
      <c r="H7" s="243"/>
      <c r="I7" s="243"/>
      <c r="J7" s="188"/>
      <c r="K7" s="188"/>
      <c r="L7" s="243"/>
      <c r="M7" s="243"/>
      <c r="O7" s="188"/>
      <c r="P7" s="244"/>
    </row>
    <row r="8" spans="1:24" ht="12" thickBot="1" x14ac:dyDescent="0.25">
      <c r="A8" s="241"/>
      <c r="B8" s="241"/>
      <c r="C8" s="247"/>
      <c r="D8" s="247"/>
      <c r="E8" s="248"/>
      <c r="F8" s="188"/>
      <c r="G8" s="188"/>
      <c r="H8" s="218" t="s">
        <v>94</v>
      </c>
      <c r="I8" s="243"/>
      <c r="J8" s="188"/>
      <c r="K8" s="218" t="s">
        <v>95</v>
      </c>
      <c r="L8" s="243"/>
      <c r="M8" s="243"/>
      <c r="O8" s="219" t="s">
        <v>96</v>
      </c>
      <c r="P8" s="244"/>
    </row>
    <row r="9" spans="1:24" x14ac:dyDescent="0.2">
      <c r="A9" s="249"/>
      <c r="B9" s="250"/>
      <c r="C9" s="243"/>
      <c r="D9" s="243"/>
      <c r="E9" s="250"/>
      <c r="F9" s="250"/>
      <c r="G9" s="251"/>
      <c r="H9" s="249"/>
      <c r="I9" s="252"/>
      <c r="J9" s="251"/>
      <c r="K9" s="253"/>
      <c r="L9" s="254"/>
      <c r="M9" s="255"/>
      <c r="P9" s="244"/>
      <c r="W9" s="243"/>
      <c r="X9" s="243"/>
    </row>
    <row r="10" spans="1:24" x14ac:dyDescent="0.2">
      <c r="A10" s="256" t="s">
        <v>97</v>
      </c>
      <c r="B10" s="245" t="s">
        <v>98</v>
      </c>
      <c r="C10" s="257" t="s">
        <v>99</v>
      </c>
      <c r="D10" s="258" t="s">
        <v>100</v>
      </c>
      <c r="E10" s="245" t="s">
        <v>31</v>
      </c>
      <c r="F10" s="259" t="s">
        <v>74</v>
      </c>
      <c r="G10" s="251"/>
      <c r="H10" s="245" t="s">
        <v>101</v>
      </c>
      <c r="I10" s="260" t="s">
        <v>102</v>
      </c>
      <c r="J10" s="188"/>
      <c r="K10" s="261" t="s">
        <v>103</v>
      </c>
      <c r="L10" s="228" t="s">
        <v>104</v>
      </c>
      <c r="M10" s="262" t="s">
        <v>105</v>
      </c>
      <c r="O10" s="218" t="s">
        <v>106</v>
      </c>
      <c r="P10" s="244"/>
      <c r="W10" s="263"/>
    </row>
    <row r="11" spans="1:24" ht="12" thickBot="1" x14ac:dyDescent="0.25">
      <c r="A11" s="264" t="s">
        <v>107</v>
      </c>
      <c r="B11" s="265" t="s">
        <v>107</v>
      </c>
      <c r="C11" s="266" t="s">
        <v>108</v>
      </c>
      <c r="D11" s="267" t="s">
        <v>108</v>
      </c>
      <c r="E11" s="268" t="s">
        <v>76</v>
      </c>
      <c r="F11" s="269"/>
      <c r="G11" s="251"/>
      <c r="H11" s="270"/>
      <c r="I11" s="271" t="s">
        <v>109</v>
      </c>
      <c r="J11" s="188"/>
      <c r="K11" s="272"/>
      <c r="L11" s="273"/>
      <c r="M11" s="274" t="s">
        <v>110</v>
      </c>
      <c r="O11" s="188" t="s">
        <v>111</v>
      </c>
      <c r="P11" s="244"/>
      <c r="W11" s="243"/>
    </row>
    <row r="12" spans="1:24" x14ac:dyDescent="0.2">
      <c r="A12" s="292" t="s">
        <v>162</v>
      </c>
      <c r="B12" s="292"/>
      <c r="C12" s="250"/>
      <c r="D12" s="275"/>
      <c r="E12" s="276"/>
      <c r="F12" s="188"/>
      <c r="G12" s="188"/>
      <c r="H12" s="188" t="s">
        <v>159</v>
      </c>
      <c r="I12" s="287">
        <v>200</v>
      </c>
      <c r="J12" s="188"/>
      <c r="K12" s="188"/>
      <c r="L12" s="188" t="s">
        <v>112</v>
      </c>
      <c r="M12" s="277" t="s">
        <v>113</v>
      </c>
      <c r="O12" s="244">
        <f>I1/I3</f>
        <v>0</v>
      </c>
      <c r="P12" s="244"/>
    </row>
    <row r="13" spans="1:24" x14ac:dyDescent="0.2">
      <c r="A13" s="292"/>
      <c r="B13" s="292"/>
      <c r="C13" s="188"/>
      <c r="D13" s="278"/>
      <c r="E13" s="279"/>
      <c r="F13" s="188"/>
      <c r="G13" s="188"/>
      <c r="H13" s="188"/>
      <c r="I13" s="287"/>
      <c r="J13" s="188"/>
      <c r="K13" s="188" t="s">
        <v>114</v>
      </c>
      <c r="L13" s="188"/>
      <c r="O13" s="188"/>
      <c r="P13" s="244"/>
    </row>
    <row r="14" spans="1:24" x14ac:dyDescent="0.2">
      <c r="A14" s="292"/>
      <c r="B14" s="292"/>
      <c r="C14" s="188"/>
      <c r="D14" s="278"/>
      <c r="E14" s="279"/>
      <c r="F14" s="408"/>
      <c r="G14" s="188"/>
      <c r="H14" s="188"/>
      <c r="I14" s="287"/>
      <c r="J14" s="188"/>
      <c r="K14" s="188"/>
      <c r="L14" s="188"/>
      <c r="O14" s="188"/>
      <c r="P14" s="244"/>
    </row>
    <row r="15" spans="1:24" x14ac:dyDescent="0.2">
      <c r="A15" s="291"/>
      <c r="B15" s="291"/>
      <c r="C15" s="241"/>
      <c r="D15" s="241"/>
      <c r="E15" s="248"/>
      <c r="F15" s="280"/>
      <c r="G15" s="188"/>
      <c r="H15" s="188"/>
      <c r="I15" s="287"/>
      <c r="J15" s="188"/>
      <c r="K15" s="188" t="s">
        <v>87</v>
      </c>
      <c r="L15" s="188"/>
      <c r="O15" s="188"/>
      <c r="P15" s="244"/>
    </row>
    <row r="16" spans="1:24" ht="15" x14ac:dyDescent="0.25">
      <c r="A16"/>
      <c r="B16"/>
      <c r="C16"/>
      <c r="D16"/>
      <c r="E16"/>
      <c r="F16" s="280"/>
      <c r="G16" s="188"/>
      <c r="H16" s="188"/>
      <c r="I16" s="287"/>
      <c r="J16" s="188"/>
      <c r="K16" s="188"/>
      <c r="L16" s="188"/>
      <c r="O16" s="188"/>
      <c r="P16" s="244"/>
    </row>
    <row r="17" spans="1:9" s="239" customFormat="1" ht="15" x14ac:dyDescent="0.25">
      <c r="A17"/>
      <c r="B17"/>
      <c r="C17"/>
      <c r="D17"/>
      <c r="E17"/>
      <c r="H17" s="188"/>
      <c r="I17" s="287"/>
    </row>
    <row r="18" spans="1:9" s="238" customFormat="1" ht="15" x14ac:dyDescent="0.25">
      <c r="A18"/>
      <c r="B18"/>
      <c r="C18"/>
      <c r="D18"/>
      <c r="E18"/>
      <c r="H18" s="188"/>
      <c r="I18" s="287"/>
    </row>
    <row r="19" spans="1:9" s="239" customFormat="1" ht="13.35" customHeight="1" x14ac:dyDescent="0.2">
      <c r="H19" s="188"/>
      <c r="I19" s="287"/>
    </row>
    <row r="20" spans="1:9" s="282" customFormat="1" ht="15" x14ac:dyDescent="0.25">
      <c r="A20"/>
      <c r="B20"/>
      <c r="C20"/>
      <c r="D20"/>
      <c r="E20"/>
      <c r="F20"/>
      <c r="H20" s="188"/>
      <c r="I20" s="287"/>
    </row>
    <row r="21" spans="1:9" s="285" customFormat="1" ht="13.35" customHeight="1" x14ac:dyDescent="0.25">
      <c r="A21" s="284"/>
      <c r="B21" s="284"/>
      <c r="C21" s="284"/>
      <c r="D21" s="284"/>
      <c r="E21" s="284"/>
      <c r="F21"/>
      <c r="H21" s="188"/>
      <c r="I21" s="287"/>
    </row>
    <row r="22" spans="1:9" s="285" customFormat="1" ht="15" x14ac:dyDescent="0.25">
      <c r="A22"/>
      <c r="B22"/>
      <c r="C22"/>
      <c r="D22"/>
      <c r="E22"/>
      <c r="F22"/>
      <c r="I22" s="287"/>
    </row>
    <row r="23" spans="1:9" s="285" customFormat="1" ht="15" x14ac:dyDescent="0.25">
      <c r="A23"/>
      <c r="B23"/>
      <c r="C23"/>
      <c r="D23"/>
      <c r="E23"/>
      <c r="F23"/>
      <c r="I23" s="287"/>
    </row>
    <row r="24" spans="1:9" s="285" customFormat="1" ht="15" x14ac:dyDescent="0.25">
      <c r="A24"/>
      <c r="B24"/>
      <c r="C24"/>
      <c r="D24"/>
      <c r="E24"/>
      <c r="F24"/>
      <c r="I24" s="287"/>
    </row>
    <row r="25" spans="1:9" s="285" customFormat="1" x14ac:dyDescent="0.25">
      <c r="I25" s="287"/>
    </row>
    <row r="26" spans="1:9" s="287" customFormat="1" x14ac:dyDescent="0.25"/>
    <row r="27" spans="1:9" s="287" customFormat="1" x14ac:dyDescent="0.25"/>
    <row r="28" spans="1:9" s="287" customFormat="1" x14ac:dyDescent="0.25"/>
    <row r="29" spans="1:9" s="287" customFormat="1" x14ac:dyDescent="0.25"/>
    <row r="30" spans="1:9" s="287" customFormat="1" x14ac:dyDescent="0.25"/>
    <row r="31" spans="1:9" s="287" customFormat="1" x14ac:dyDescent="0.25"/>
    <row r="32" spans="1:9" s="287" customFormat="1" x14ac:dyDescent="0.25"/>
    <row r="33" spans="1:19" s="287" customFormat="1" x14ac:dyDescent="0.25"/>
    <row r="34" spans="1:19" x14ac:dyDescent="0.2">
      <c r="A34" s="287"/>
      <c r="C34" s="188"/>
      <c r="D34" s="188"/>
      <c r="E34" s="188"/>
      <c r="F34" s="188"/>
      <c r="G34" s="188"/>
      <c r="H34" s="188"/>
      <c r="I34" s="188"/>
      <c r="J34" s="188"/>
      <c r="K34" s="188"/>
      <c r="L34" s="188"/>
      <c r="O34" s="188"/>
      <c r="P34" s="188"/>
      <c r="Q34" s="188"/>
      <c r="R34" s="188"/>
      <c r="S34" s="188"/>
    </row>
    <row r="35" spans="1:19" x14ac:dyDescent="0.2">
      <c r="A35" s="287"/>
      <c r="C35" s="188"/>
      <c r="D35" s="188"/>
      <c r="E35" s="188"/>
      <c r="F35" s="188"/>
      <c r="G35" s="188"/>
      <c r="H35" s="188"/>
      <c r="I35" s="188"/>
      <c r="J35" s="188"/>
      <c r="K35" s="188"/>
      <c r="L35" s="188"/>
      <c r="O35" s="188"/>
      <c r="P35" s="188"/>
      <c r="Q35" s="188"/>
      <c r="R35" s="188"/>
      <c r="S35" s="188"/>
    </row>
    <row r="36" spans="1:19" ht="15" x14ac:dyDescent="0.25">
      <c r="A36" s="287"/>
      <c r="C36"/>
      <c r="D36" s="188"/>
      <c r="E36" s="188"/>
      <c r="F36" s="188"/>
      <c r="G36" s="188"/>
      <c r="H36" s="188"/>
      <c r="I36" s="188"/>
      <c r="J36" s="188"/>
      <c r="K36" s="188"/>
      <c r="L36" s="188"/>
      <c r="O36" s="188"/>
      <c r="P36" s="188"/>
      <c r="Q36" s="188"/>
      <c r="R36" s="188"/>
      <c r="S36" s="188"/>
    </row>
    <row r="37" spans="1:19" x14ac:dyDescent="0.2">
      <c r="A37" s="287"/>
      <c r="C37" s="188"/>
      <c r="D37" s="188"/>
      <c r="E37" s="188"/>
      <c r="F37" s="188"/>
      <c r="G37" s="188"/>
      <c r="H37" s="188"/>
      <c r="I37" s="188"/>
      <c r="J37" s="188"/>
      <c r="K37" s="188"/>
      <c r="L37" s="188"/>
      <c r="O37" s="188"/>
      <c r="P37" s="188"/>
      <c r="Q37" s="188"/>
      <c r="R37" s="188"/>
      <c r="S37" s="188"/>
    </row>
    <row r="38" spans="1:19" x14ac:dyDescent="0.2">
      <c r="A38" s="287"/>
      <c r="C38" s="188"/>
      <c r="D38" s="188"/>
      <c r="E38" s="188"/>
      <c r="F38" s="188"/>
      <c r="G38" s="188"/>
      <c r="H38" s="188"/>
      <c r="I38" s="188"/>
      <c r="J38" s="188"/>
      <c r="K38" s="188"/>
      <c r="L38" s="188"/>
      <c r="O38" s="188"/>
      <c r="P38" s="188"/>
      <c r="Q38" s="188"/>
      <c r="R38" s="188"/>
      <c r="S38" s="188"/>
    </row>
    <row r="39" spans="1:19" x14ac:dyDescent="0.2">
      <c r="C39" s="188"/>
      <c r="D39" s="188"/>
      <c r="E39" s="188"/>
      <c r="F39" s="188"/>
      <c r="G39" s="188"/>
      <c r="H39" s="188"/>
      <c r="I39" s="188"/>
      <c r="J39" s="188"/>
      <c r="K39" s="188"/>
      <c r="L39" s="188"/>
      <c r="O39" s="188"/>
      <c r="P39" s="188"/>
      <c r="Q39" s="188"/>
      <c r="R39" s="188"/>
      <c r="S39" s="188"/>
    </row>
    <row r="40" spans="1:19" x14ac:dyDescent="0.2">
      <c r="C40" s="188"/>
      <c r="D40" s="188"/>
      <c r="E40" s="188"/>
      <c r="F40" s="188"/>
      <c r="G40" s="188"/>
      <c r="H40" s="188"/>
      <c r="I40" s="188"/>
      <c r="J40" s="188"/>
      <c r="K40" s="188"/>
      <c r="L40" s="188"/>
      <c r="O40" s="188"/>
      <c r="P40" s="188"/>
      <c r="Q40" s="188"/>
      <c r="R40" s="188"/>
      <c r="S40" s="188"/>
    </row>
    <row r="41" spans="1:19" x14ac:dyDescent="0.2">
      <c r="C41" s="188"/>
      <c r="D41" s="188"/>
      <c r="E41" s="188"/>
      <c r="F41" s="188"/>
      <c r="G41" s="188"/>
      <c r="H41" s="188"/>
      <c r="I41" s="188"/>
      <c r="J41" s="188"/>
      <c r="K41" s="188"/>
      <c r="L41" s="188"/>
      <c r="O41" s="188"/>
      <c r="P41" s="188"/>
      <c r="Q41" s="188"/>
      <c r="R41" s="188"/>
      <c r="S41" s="188"/>
    </row>
    <row r="42" spans="1:19" x14ac:dyDescent="0.2">
      <c r="C42" s="188"/>
      <c r="D42" s="188"/>
      <c r="E42" s="188"/>
      <c r="F42" s="188"/>
      <c r="G42" s="188"/>
      <c r="H42" s="188"/>
      <c r="I42" s="188"/>
      <c r="J42" s="188"/>
      <c r="K42" s="188"/>
      <c r="L42" s="188"/>
      <c r="O42" s="188"/>
      <c r="P42" s="188"/>
      <c r="Q42" s="188"/>
      <c r="R42" s="188"/>
      <c r="S42" s="188"/>
    </row>
    <row r="43" spans="1:19" x14ac:dyDescent="0.2">
      <c r="C43" s="188"/>
      <c r="D43" s="188"/>
      <c r="E43" s="188"/>
      <c r="F43" s="188"/>
      <c r="G43" s="188"/>
      <c r="H43" s="188"/>
      <c r="I43" s="188"/>
      <c r="J43" s="188"/>
      <c r="K43" s="188"/>
      <c r="L43" s="188"/>
      <c r="O43" s="188"/>
      <c r="P43" s="188"/>
      <c r="Q43" s="188"/>
      <c r="R43" s="188"/>
      <c r="S43" s="188"/>
    </row>
    <row r="44" spans="1:19" x14ac:dyDescent="0.2">
      <c r="C44" s="188"/>
      <c r="D44" s="188"/>
      <c r="E44" s="188"/>
      <c r="F44" s="188"/>
      <c r="G44" s="188"/>
      <c r="H44" s="188"/>
      <c r="I44" s="188"/>
      <c r="J44" s="188"/>
      <c r="K44" s="188"/>
      <c r="L44" s="188"/>
      <c r="O44" s="188"/>
      <c r="P44" s="188"/>
      <c r="Q44" s="188"/>
      <c r="R44" s="188"/>
      <c r="S44" s="188"/>
    </row>
    <row r="45" spans="1:19" x14ac:dyDescent="0.2">
      <c r="C45" s="188"/>
      <c r="D45" s="188"/>
      <c r="E45" s="188"/>
      <c r="F45" s="188"/>
      <c r="G45" s="188"/>
      <c r="H45" s="188"/>
      <c r="I45" s="243"/>
      <c r="J45" s="188"/>
      <c r="K45" s="188"/>
      <c r="L45" s="243"/>
      <c r="M45" s="243"/>
      <c r="O45" s="188"/>
      <c r="P45" s="244"/>
    </row>
    <row r="46" spans="1:19" x14ac:dyDescent="0.2">
      <c r="C46" s="188"/>
      <c r="D46" s="188"/>
      <c r="E46" s="188"/>
      <c r="F46" s="188"/>
      <c r="G46" s="188"/>
      <c r="H46" s="188"/>
      <c r="I46" s="243"/>
      <c r="J46" s="188"/>
      <c r="K46" s="188"/>
      <c r="L46" s="243"/>
      <c r="M46" s="243"/>
      <c r="O46" s="188"/>
      <c r="P46" s="244"/>
    </row>
    <row r="47" spans="1:19" x14ac:dyDescent="0.2">
      <c r="C47" s="188"/>
      <c r="D47" s="188"/>
      <c r="E47" s="188"/>
      <c r="F47" s="188"/>
      <c r="G47" s="188"/>
      <c r="H47" s="188"/>
      <c r="I47" s="243"/>
      <c r="J47" s="188"/>
      <c r="K47" s="188"/>
      <c r="L47" s="243"/>
      <c r="M47" s="243"/>
      <c r="O47" s="188"/>
      <c r="P47" s="244"/>
    </row>
    <row r="48" spans="1:19" x14ac:dyDescent="0.2">
      <c r="C48" s="188"/>
      <c r="D48" s="188"/>
      <c r="E48" s="188"/>
      <c r="F48" s="188"/>
      <c r="G48" s="188"/>
      <c r="H48" s="188"/>
      <c r="I48" s="188"/>
      <c r="J48" s="288"/>
      <c r="K48" s="188"/>
      <c r="L48" s="243"/>
      <c r="M48" s="243"/>
      <c r="O48" s="188"/>
      <c r="P48" s="244"/>
    </row>
    <row r="49" spans="1:26" x14ac:dyDescent="0.2">
      <c r="C49" s="188"/>
      <c r="D49" s="188"/>
      <c r="E49" s="188"/>
      <c r="F49" s="188"/>
      <c r="G49" s="188"/>
      <c r="H49" s="188"/>
      <c r="I49" s="188"/>
      <c r="J49" s="288"/>
      <c r="K49" s="188"/>
      <c r="L49" s="243"/>
      <c r="M49" s="243"/>
      <c r="O49" s="188"/>
      <c r="P49" s="244"/>
    </row>
    <row r="50" spans="1:26" x14ac:dyDescent="0.2">
      <c r="A50" s="241"/>
      <c r="B50" s="241"/>
      <c r="C50" s="241"/>
      <c r="D50" s="241"/>
      <c r="E50" s="248"/>
      <c r="F50" s="280"/>
      <c r="G50" s="188"/>
      <c r="H50" s="188"/>
      <c r="I50" s="243"/>
      <c r="J50" s="188"/>
      <c r="K50" s="188"/>
      <c r="L50" s="243"/>
      <c r="M50" s="243"/>
      <c r="O50" s="188"/>
      <c r="P50" s="244"/>
    </row>
    <row r="51" spans="1:26" x14ac:dyDescent="0.2">
      <c r="A51" s="241"/>
      <c r="B51" s="241"/>
      <c r="C51" s="241"/>
      <c r="D51" s="241"/>
      <c r="E51" s="248"/>
      <c r="F51" s="280"/>
      <c r="G51" s="188"/>
      <c r="H51" s="188"/>
      <c r="I51" s="243"/>
      <c r="J51" s="188"/>
      <c r="K51" s="188"/>
      <c r="L51" s="243"/>
      <c r="M51" s="243"/>
      <c r="O51" s="188"/>
      <c r="P51" s="244"/>
    </row>
    <row r="52" spans="1:26" x14ac:dyDescent="0.2">
      <c r="A52" s="241"/>
      <c r="B52" s="241"/>
      <c r="C52" s="241"/>
      <c r="D52" s="241"/>
      <c r="E52" s="248"/>
      <c r="F52" s="280"/>
      <c r="G52" s="188"/>
      <c r="H52" s="188"/>
      <c r="I52" s="243"/>
      <c r="J52" s="188"/>
      <c r="K52" s="188"/>
      <c r="L52" s="243"/>
      <c r="M52" s="243"/>
      <c r="O52" s="188"/>
      <c r="P52" s="244"/>
    </row>
    <row r="53" spans="1:26" x14ac:dyDescent="0.2">
      <c r="A53" s="241"/>
      <c r="B53" s="241"/>
      <c r="C53" s="241"/>
      <c r="D53" s="241"/>
      <c r="E53" s="248"/>
      <c r="F53" s="280"/>
      <c r="G53" s="188"/>
      <c r="H53" s="188"/>
      <c r="I53" s="243"/>
      <c r="J53" s="188"/>
      <c r="K53" s="188"/>
      <c r="L53" s="243"/>
      <c r="M53" s="243"/>
      <c r="O53" s="188"/>
      <c r="P53" s="244"/>
    </row>
    <row r="54" spans="1:26" x14ac:dyDescent="0.2">
      <c r="A54" s="241"/>
      <c r="B54" s="241"/>
      <c r="C54" s="241"/>
      <c r="D54" s="241"/>
      <c r="E54" s="248"/>
      <c r="F54" s="280"/>
      <c r="G54" s="188"/>
      <c r="H54" s="188"/>
      <c r="I54" s="243"/>
      <c r="J54" s="188"/>
      <c r="K54" s="188"/>
      <c r="L54" s="243"/>
      <c r="M54" s="243"/>
      <c r="O54" s="188"/>
      <c r="P54" s="244"/>
    </row>
    <row r="55" spans="1:26" x14ac:dyDescent="0.2">
      <c r="A55" s="241"/>
      <c r="B55" s="241"/>
      <c r="C55" s="241"/>
      <c r="D55" s="241"/>
      <c r="E55" s="248"/>
      <c r="F55" s="280"/>
      <c r="G55" s="188"/>
      <c r="H55" s="188"/>
      <c r="I55" s="243"/>
      <c r="J55" s="188"/>
      <c r="K55" s="188"/>
      <c r="L55" s="243"/>
      <c r="O55" s="188"/>
      <c r="P55" s="244"/>
      <c r="W55" s="243"/>
      <c r="X55" s="243"/>
    </row>
    <row r="56" spans="1:26" x14ac:dyDescent="0.2">
      <c r="A56" s="241"/>
      <c r="B56" s="241"/>
      <c r="C56" s="241"/>
      <c r="D56" s="241"/>
      <c r="E56" s="248"/>
      <c r="F56" s="280"/>
      <c r="G56" s="188"/>
      <c r="H56" s="188"/>
      <c r="I56" s="243"/>
      <c r="J56" s="188"/>
      <c r="K56" s="188"/>
      <c r="L56" s="243"/>
      <c r="O56" s="188"/>
      <c r="P56" s="244"/>
      <c r="W56" s="263"/>
      <c r="X56" s="243"/>
      <c r="Y56" s="243"/>
      <c r="Z56" s="243"/>
    </row>
    <row r="57" spans="1:26" x14ac:dyDescent="0.2">
      <c r="A57" s="241"/>
      <c r="B57" s="241"/>
      <c r="C57" s="241"/>
      <c r="D57" s="241"/>
      <c r="E57" s="248"/>
      <c r="F57" s="280"/>
      <c r="G57" s="188"/>
      <c r="H57" s="188"/>
      <c r="I57" s="243"/>
      <c r="J57" s="188"/>
      <c r="K57" s="188"/>
      <c r="L57" s="188"/>
      <c r="O57" s="188"/>
      <c r="P57" s="244"/>
      <c r="W57" s="263"/>
    </row>
    <row r="58" spans="1:26" x14ac:dyDescent="0.2">
      <c r="A58" s="241"/>
      <c r="B58" s="241"/>
      <c r="C58" s="241"/>
      <c r="D58" s="241"/>
      <c r="E58" s="248"/>
      <c r="F58" s="280"/>
      <c r="G58" s="188"/>
      <c r="H58" s="188"/>
      <c r="I58" s="243"/>
      <c r="J58" s="188"/>
      <c r="K58" s="188"/>
      <c r="L58" s="188"/>
      <c r="O58" s="188"/>
      <c r="P58" s="244"/>
      <c r="W58" s="243"/>
    </row>
    <row r="59" spans="1:26" x14ac:dyDescent="0.2">
      <c r="A59" s="241"/>
      <c r="B59" s="241"/>
      <c r="C59" s="241"/>
      <c r="D59" s="241"/>
      <c r="E59" s="248"/>
      <c r="F59" s="280"/>
      <c r="G59" s="188"/>
      <c r="H59" s="188"/>
      <c r="I59" s="243"/>
      <c r="J59" s="188"/>
      <c r="K59" s="188"/>
      <c r="L59" s="188"/>
      <c r="O59" s="188"/>
      <c r="P59" s="244"/>
    </row>
    <row r="60" spans="1:26" x14ac:dyDescent="0.2">
      <c r="A60" s="241"/>
      <c r="B60" s="241"/>
      <c r="C60" s="241"/>
      <c r="D60" s="241"/>
      <c r="E60" s="248"/>
      <c r="F60" s="280"/>
      <c r="G60" s="188"/>
      <c r="H60" s="188"/>
      <c r="I60" s="243"/>
      <c r="J60" s="188"/>
      <c r="K60" s="188"/>
      <c r="L60" s="188"/>
      <c r="O60" s="188"/>
      <c r="P60" s="244"/>
    </row>
    <row r="61" spans="1:26" x14ac:dyDescent="0.2">
      <c r="A61" s="241"/>
      <c r="B61" s="241"/>
      <c r="C61" s="241"/>
      <c r="D61" s="241"/>
      <c r="E61" s="248"/>
      <c r="F61" s="280"/>
      <c r="G61" s="188"/>
      <c r="H61" s="188"/>
      <c r="I61" s="243"/>
      <c r="J61" s="188"/>
      <c r="K61" s="188"/>
      <c r="L61" s="188"/>
      <c r="O61" s="188"/>
      <c r="P61" s="244"/>
    </row>
    <row r="62" spans="1:26" x14ac:dyDescent="0.2">
      <c r="A62" s="241"/>
      <c r="B62" s="241"/>
      <c r="C62" s="241"/>
      <c r="D62" s="241"/>
      <c r="E62" s="248"/>
      <c r="F62" s="280"/>
      <c r="G62" s="188"/>
      <c r="H62" s="188"/>
      <c r="I62" s="243"/>
      <c r="J62" s="188"/>
      <c r="K62" s="188"/>
      <c r="L62" s="188"/>
      <c r="O62" s="188"/>
      <c r="P62" s="244"/>
    </row>
    <row r="63" spans="1:26" x14ac:dyDescent="0.2">
      <c r="A63" s="241"/>
      <c r="B63" s="241"/>
      <c r="C63" s="241"/>
      <c r="D63" s="241"/>
      <c r="E63" s="248"/>
      <c r="F63" s="280"/>
      <c r="G63" s="188"/>
      <c r="H63" s="188"/>
      <c r="I63" s="243"/>
      <c r="J63" s="188"/>
      <c r="K63" s="188"/>
      <c r="L63" s="188"/>
      <c r="O63" s="188"/>
      <c r="P63" s="244"/>
    </row>
    <row r="64" spans="1:26" x14ac:dyDescent="0.2">
      <c r="A64" s="241"/>
      <c r="B64" s="241"/>
      <c r="C64" s="241"/>
      <c r="D64" s="241"/>
      <c r="E64" s="248"/>
      <c r="F64" s="280"/>
      <c r="G64" s="188"/>
      <c r="H64" s="188"/>
      <c r="I64" s="243"/>
      <c r="J64" s="188"/>
      <c r="K64" s="188"/>
      <c r="L64" s="188"/>
      <c r="O64" s="188"/>
      <c r="P64" s="244"/>
    </row>
    <row r="65" spans="1:22" x14ac:dyDescent="0.2">
      <c r="A65" s="241"/>
      <c r="B65" s="241"/>
      <c r="C65" s="241"/>
      <c r="D65" s="241"/>
      <c r="E65" s="248"/>
      <c r="F65" s="280"/>
      <c r="G65" s="188"/>
      <c r="H65" s="188"/>
      <c r="I65" s="243"/>
      <c r="J65" s="188"/>
      <c r="K65" s="188"/>
      <c r="L65" s="188"/>
      <c r="O65" s="188"/>
      <c r="P65" s="244"/>
    </row>
    <row r="66" spans="1:22" x14ac:dyDescent="0.2">
      <c r="A66" s="241"/>
      <c r="B66" s="241"/>
      <c r="C66" s="241"/>
      <c r="D66" s="241"/>
      <c r="E66" s="248"/>
      <c r="F66" s="280"/>
      <c r="G66" s="188"/>
      <c r="H66" s="188"/>
      <c r="I66" s="243"/>
      <c r="J66" s="188"/>
      <c r="K66" s="188"/>
      <c r="L66" s="188"/>
      <c r="O66" s="188"/>
      <c r="P66" s="244"/>
    </row>
    <row r="67" spans="1:22" x14ac:dyDescent="0.2">
      <c r="A67" s="241"/>
      <c r="B67" s="241"/>
      <c r="C67" s="241"/>
      <c r="D67" s="241"/>
      <c r="E67" s="248"/>
      <c r="F67" s="280"/>
      <c r="G67" s="188"/>
      <c r="H67" s="188"/>
      <c r="I67" s="243"/>
      <c r="J67" s="188"/>
      <c r="K67" s="188"/>
      <c r="L67" s="188"/>
      <c r="O67" s="188"/>
      <c r="P67" s="244"/>
    </row>
    <row r="68" spans="1:22" x14ac:dyDescent="0.2">
      <c r="A68" s="241"/>
      <c r="B68" s="241"/>
      <c r="C68" s="241"/>
      <c r="D68" s="241"/>
      <c r="E68" s="248"/>
      <c r="F68" s="280"/>
      <c r="G68" s="244"/>
      <c r="H68" s="188"/>
      <c r="I68" s="243"/>
      <c r="J68" s="188"/>
      <c r="K68" s="188"/>
      <c r="L68" s="188"/>
      <c r="O68" s="188"/>
      <c r="P68" s="244"/>
    </row>
    <row r="69" spans="1:22" x14ac:dyDescent="0.2">
      <c r="A69" s="241"/>
      <c r="B69" s="241"/>
      <c r="C69" s="241"/>
      <c r="D69" s="241"/>
      <c r="E69" s="248"/>
      <c r="F69" s="280"/>
      <c r="G69" s="244"/>
      <c r="H69" s="188"/>
      <c r="I69" s="243"/>
      <c r="J69" s="188"/>
      <c r="K69" s="188"/>
      <c r="L69" s="188"/>
      <c r="O69" s="188"/>
      <c r="P69" s="244"/>
    </row>
    <row r="70" spans="1:22" x14ac:dyDescent="0.2">
      <c r="A70" s="241"/>
      <c r="B70" s="241"/>
      <c r="C70" s="241"/>
      <c r="D70" s="241"/>
      <c r="E70" s="248"/>
      <c r="F70" s="280"/>
      <c r="G70" s="244"/>
      <c r="H70" s="188"/>
      <c r="I70" s="243"/>
      <c r="J70" s="188"/>
      <c r="K70" s="188"/>
      <c r="L70" s="188"/>
      <c r="O70" s="188"/>
      <c r="P70" s="244"/>
    </row>
    <row r="71" spans="1:22" x14ac:dyDescent="0.2">
      <c r="A71" s="241"/>
      <c r="B71" s="241"/>
      <c r="C71" s="241"/>
      <c r="D71" s="241"/>
      <c r="E71" s="248"/>
      <c r="F71" s="280"/>
      <c r="G71" s="244"/>
      <c r="H71" s="188"/>
      <c r="I71" s="243"/>
      <c r="J71" s="188"/>
      <c r="K71" s="188"/>
      <c r="L71" s="188"/>
      <c r="O71" s="188"/>
      <c r="P71" s="244"/>
    </row>
    <row r="72" spans="1:22" x14ac:dyDescent="0.2">
      <c r="A72" s="241"/>
      <c r="B72" s="241"/>
      <c r="C72" s="241"/>
      <c r="D72" s="241"/>
      <c r="E72" s="248"/>
      <c r="F72" s="280"/>
      <c r="G72" s="188"/>
      <c r="H72" s="188"/>
      <c r="I72" s="243"/>
      <c r="J72" s="188"/>
      <c r="K72" s="188"/>
      <c r="L72" s="188"/>
      <c r="O72" s="188"/>
      <c r="P72" s="244"/>
    </row>
    <row r="73" spans="1:22" x14ac:dyDescent="0.2">
      <c r="A73" s="241"/>
      <c r="B73" s="241"/>
      <c r="C73" s="241"/>
      <c r="D73" s="241"/>
      <c r="E73" s="248"/>
      <c r="F73" s="280"/>
      <c r="G73" s="188"/>
      <c r="H73" s="188"/>
      <c r="I73" s="243"/>
      <c r="J73" s="188"/>
      <c r="K73" s="188"/>
      <c r="L73" s="188"/>
      <c r="O73" s="188"/>
      <c r="P73" s="244"/>
    </row>
    <row r="74" spans="1:22" x14ac:dyDescent="0.2">
      <c r="A74" s="241"/>
      <c r="B74" s="241"/>
      <c r="C74" s="241"/>
      <c r="D74" s="241"/>
      <c r="E74" s="248"/>
      <c r="F74" s="280"/>
      <c r="G74" s="188"/>
      <c r="H74" s="188"/>
      <c r="I74" s="243"/>
      <c r="J74" s="188"/>
      <c r="K74" s="188"/>
      <c r="L74" s="188"/>
      <c r="O74" s="188"/>
      <c r="P74" s="244"/>
      <c r="R74" s="278"/>
      <c r="S74" s="278"/>
      <c r="T74" s="241"/>
      <c r="U74" s="241"/>
      <c r="V74" s="241"/>
    </row>
    <row r="75" spans="1:22" x14ac:dyDescent="0.2">
      <c r="A75" s="241"/>
      <c r="B75" s="241"/>
      <c r="C75" s="241"/>
      <c r="D75" s="241"/>
      <c r="E75" s="248"/>
      <c r="F75" s="280"/>
      <c r="G75" s="188"/>
      <c r="H75" s="188"/>
      <c r="I75" s="243"/>
      <c r="J75" s="188"/>
      <c r="K75" s="188"/>
      <c r="L75" s="188"/>
      <c r="O75" s="188"/>
      <c r="P75" s="244"/>
      <c r="R75" s="278"/>
      <c r="S75" s="278"/>
      <c r="T75" s="241"/>
      <c r="U75" s="241"/>
      <c r="V75" s="241"/>
    </row>
    <row r="76" spans="1:22" x14ac:dyDescent="0.2">
      <c r="A76" s="241"/>
      <c r="B76" s="241"/>
      <c r="C76" s="241"/>
      <c r="D76" s="241"/>
      <c r="E76" s="248"/>
      <c r="F76" s="280"/>
      <c r="G76" s="188"/>
      <c r="H76" s="188"/>
      <c r="I76" s="243"/>
      <c r="J76" s="188"/>
      <c r="K76" s="188"/>
      <c r="L76" s="188"/>
      <c r="O76" s="188"/>
      <c r="P76" s="244"/>
      <c r="R76" s="278"/>
      <c r="S76" s="278"/>
      <c r="T76" s="241"/>
      <c r="U76" s="241"/>
      <c r="V76" s="241"/>
    </row>
    <row r="77" spans="1:22" x14ac:dyDescent="0.2">
      <c r="A77" s="241"/>
      <c r="B77" s="241"/>
      <c r="C77" s="241"/>
      <c r="D77" s="241"/>
      <c r="E77" s="248"/>
      <c r="F77" s="280"/>
      <c r="G77" s="188"/>
      <c r="H77" s="188"/>
      <c r="I77" s="243"/>
      <c r="J77" s="188"/>
      <c r="K77" s="188"/>
      <c r="L77" s="188"/>
      <c r="O77" s="188"/>
      <c r="P77" s="244"/>
      <c r="R77" s="278"/>
      <c r="S77" s="278"/>
      <c r="T77" s="241"/>
      <c r="U77" s="241"/>
      <c r="V77" s="241"/>
    </row>
    <row r="78" spans="1:22" x14ac:dyDescent="0.2">
      <c r="A78" s="241"/>
      <c r="B78" s="241"/>
      <c r="C78" s="241"/>
      <c r="D78" s="241"/>
      <c r="E78" s="248"/>
      <c r="F78" s="280"/>
      <c r="G78" s="188"/>
      <c r="H78" s="188"/>
      <c r="I78" s="243"/>
      <c r="J78" s="188"/>
      <c r="K78" s="188"/>
      <c r="L78" s="188"/>
      <c r="O78" s="188"/>
      <c r="P78" s="244"/>
      <c r="R78" s="278"/>
      <c r="S78" s="278"/>
      <c r="T78" s="241"/>
      <c r="U78" s="241"/>
      <c r="V78" s="241"/>
    </row>
    <row r="79" spans="1:22" x14ac:dyDescent="0.2">
      <c r="A79" s="241"/>
      <c r="B79" s="241"/>
      <c r="C79" s="241"/>
      <c r="D79" s="241"/>
      <c r="E79" s="248"/>
      <c r="F79" s="280"/>
      <c r="G79" s="188"/>
      <c r="H79" s="188"/>
      <c r="I79" s="243"/>
      <c r="J79" s="188"/>
      <c r="K79" s="188"/>
      <c r="L79" s="188"/>
      <c r="N79" s="241"/>
      <c r="O79" s="241"/>
      <c r="P79" s="278"/>
      <c r="Q79" s="278"/>
      <c r="R79" s="278"/>
      <c r="S79" s="278"/>
      <c r="T79" s="241"/>
      <c r="U79" s="241"/>
      <c r="V79" s="241"/>
    </row>
    <row r="80" spans="1:22" x14ac:dyDescent="0.2">
      <c r="A80" s="241"/>
      <c r="B80" s="241"/>
      <c r="C80" s="241"/>
      <c r="D80" s="241"/>
      <c r="E80" s="248"/>
      <c r="F80" s="280"/>
      <c r="G80" s="188"/>
      <c r="H80" s="188"/>
      <c r="I80" s="243"/>
      <c r="J80" s="188"/>
      <c r="K80" s="188"/>
      <c r="L80" s="188"/>
      <c r="N80" s="241"/>
      <c r="O80" s="241"/>
      <c r="P80" s="278"/>
      <c r="Q80" s="278"/>
      <c r="R80" s="278"/>
      <c r="S80" s="278"/>
      <c r="T80" s="241"/>
      <c r="U80" s="241"/>
      <c r="V80" s="241"/>
    </row>
    <row r="81" spans="1:22" x14ac:dyDescent="0.2">
      <c r="A81" s="241"/>
      <c r="B81" s="241"/>
      <c r="C81" s="241"/>
      <c r="D81" s="241"/>
      <c r="E81" s="248"/>
      <c r="F81" s="280"/>
      <c r="G81" s="188"/>
      <c r="H81" s="188"/>
      <c r="I81" s="243"/>
      <c r="J81" s="188"/>
      <c r="K81" s="188"/>
      <c r="L81" s="188"/>
      <c r="N81" s="241"/>
      <c r="O81" s="241"/>
      <c r="P81" s="278"/>
      <c r="Q81" s="278"/>
      <c r="R81" s="278"/>
      <c r="S81" s="278"/>
      <c r="T81" s="241"/>
      <c r="U81" s="241"/>
      <c r="V81" s="241"/>
    </row>
    <row r="82" spans="1:22" x14ac:dyDescent="0.2">
      <c r="A82" s="241"/>
      <c r="B82" s="241"/>
      <c r="C82" s="241"/>
      <c r="D82" s="241"/>
      <c r="E82" s="248"/>
      <c r="F82" s="280"/>
      <c r="G82" s="188"/>
      <c r="H82" s="188"/>
      <c r="I82" s="243"/>
      <c r="J82" s="188"/>
      <c r="K82" s="188"/>
      <c r="L82" s="188"/>
      <c r="N82" s="241"/>
      <c r="O82" s="241"/>
      <c r="P82" s="278"/>
      <c r="Q82" s="278"/>
      <c r="R82" s="278"/>
      <c r="S82" s="278"/>
      <c r="T82" s="241"/>
      <c r="U82" s="241"/>
      <c r="V82" s="241"/>
    </row>
    <row r="83" spans="1:22" x14ac:dyDescent="0.2">
      <c r="A83" s="241"/>
      <c r="B83" s="241"/>
      <c r="C83" s="241"/>
      <c r="D83" s="241"/>
      <c r="E83" s="248"/>
      <c r="F83" s="280"/>
      <c r="G83" s="188"/>
      <c r="H83" s="188"/>
      <c r="I83" s="243"/>
      <c r="J83" s="188"/>
      <c r="K83" s="188"/>
      <c r="L83" s="188"/>
      <c r="N83" s="241"/>
      <c r="O83" s="241"/>
      <c r="P83" s="278"/>
      <c r="Q83" s="278"/>
      <c r="R83" s="278"/>
      <c r="S83" s="278"/>
      <c r="T83" s="241"/>
      <c r="U83" s="241"/>
      <c r="V83" s="241"/>
    </row>
    <row r="84" spans="1:22" x14ac:dyDescent="0.2">
      <c r="A84" s="241"/>
      <c r="B84" s="241"/>
      <c r="C84" s="241"/>
      <c r="D84" s="241"/>
      <c r="E84" s="248"/>
      <c r="F84" s="280"/>
      <c r="G84" s="188"/>
      <c r="H84" s="188"/>
      <c r="I84" s="243"/>
      <c r="J84" s="188"/>
      <c r="K84" s="188"/>
      <c r="L84" s="188"/>
      <c r="N84" s="241"/>
      <c r="O84" s="241"/>
      <c r="P84" s="278"/>
      <c r="Q84" s="278"/>
      <c r="R84" s="278"/>
      <c r="S84" s="278"/>
      <c r="T84" s="241"/>
      <c r="U84" s="241"/>
      <c r="V84" s="241"/>
    </row>
    <row r="85" spans="1:22" x14ac:dyDescent="0.2">
      <c r="A85" s="241"/>
      <c r="B85" s="241"/>
      <c r="C85" s="241"/>
      <c r="D85" s="241"/>
      <c r="E85" s="248"/>
      <c r="F85" s="280"/>
      <c r="G85" s="188"/>
      <c r="H85" s="188"/>
      <c r="I85" s="243"/>
      <c r="J85" s="188"/>
      <c r="K85" s="188"/>
      <c r="L85" s="188"/>
      <c r="N85" s="241"/>
      <c r="O85" s="241"/>
      <c r="P85" s="278"/>
      <c r="Q85" s="278"/>
      <c r="R85" s="278"/>
      <c r="S85" s="278"/>
      <c r="T85" s="241"/>
      <c r="U85" s="241"/>
      <c r="V85" s="241"/>
    </row>
    <row r="86" spans="1:22" x14ac:dyDescent="0.2">
      <c r="A86" s="241"/>
      <c r="B86" s="241"/>
      <c r="C86" s="241"/>
      <c r="D86" s="241"/>
      <c r="E86" s="248"/>
      <c r="F86" s="280"/>
      <c r="G86" s="188"/>
      <c r="H86" s="188"/>
      <c r="I86" s="243"/>
      <c r="J86" s="188"/>
      <c r="K86" s="188"/>
      <c r="L86" s="188"/>
      <c r="N86" s="241"/>
      <c r="O86" s="241"/>
      <c r="P86" s="278"/>
      <c r="Q86" s="278"/>
      <c r="R86" s="278"/>
      <c r="S86" s="278"/>
      <c r="T86" s="241"/>
      <c r="U86" s="241"/>
      <c r="V86" s="241"/>
    </row>
    <row r="87" spans="1:22" x14ac:dyDescent="0.2">
      <c r="A87" s="241"/>
      <c r="B87" s="241"/>
      <c r="C87" s="241"/>
      <c r="D87" s="241"/>
      <c r="E87" s="248"/>
      <c r="F87" s="280"/>
      <c r="G87" s="188"/>
      <c r="H87" s="188"/>
      <c r="I87" s="243"/>
      <c r="J87" s="188"/>
      <c r="K87" s="188"/>
      <c r="L87" s="188"/>
      <c r="N87" s="241"/>
      <c r="O87" s="241"/>
      <c r="P87" s="278"/>
      <c r="Q87" s="278"/>
      <c r="R87" s="278"/>
      <c r="S87" s="278"/>
      <c r="T87" s="241"/>
      <c r="U87" s="241"/>
      <c r="V87" s="241"/>
    </row>
    <row r="88" spans="1:22" x14ac:dyDescent="0.2">
      <c r="A88" s="241"/>
      <c r="B88" s="241"/>
      <c r="C88" s="241"/>
      <c r="D88" s="241"/>
      <c r="E88" s="248"/>
      <c r="F88" s="280"/>
      <c r="G88" s="188"/>
      <c r="H88" s="188"/>
      <c r="I88" s="243"/>
      <c r="J88" s="188"/>
      <c r="K88" s="188"/>
      <c r="L88" s="188"/>
      <c r="N88" s="241"/>
      <c r="O88" s="241"/>
      <c r="P88" s="278"/>
      <c r="Q88" s="278"/>
      <c r="R88" s="278"/>
      <c r="S88" s="278"/>
      <c r="T88" s="241"/>
      <c r="U88" s="241"/>
      <c r="V88" s="241"/>
    </row>
    <row r="89" spans="1:22" x14ac:dyDescent="0.2">
      <c r="A89" s="241"/>
      <c r="B89" s="241"/>
      <c r="C89" s="241"/>
      <c r="D89" s="241"/>
      <c r="E89" s="248"/>
      <c r="F89" s="280"/>
      <c r="G89" s="188"/>
      <c r="H89" s="188"/>
      <c r="I89" s="243"/>
      <c r="J89" s="188"/>
      <c r="K89" s="188"/>
      <c r="L89" s="188"/>
      <c r="N89" s="241"/>
      <c r="O89" s="241"/>
      <c r="P89" s="278"/>
      <c r="Q89" s="278"/>
      <c r="R89" s="278"/>
      <c r="S89" s="278"/>
      <c r="T89" s="241"/>
      <c r="U89" s="241"/>
      <c r="V89" s="241"/>
    </row>
    <row r="90" spans="1:22" x14ac:dyDescent="0.2">
      <c r="A90" s="241"/>
      <c r="B90" s="241"/>
      <c r="C90" s="241"/>
      <c r="D90" s="241"/>
      <c r="E90" s="248"/>
      <c r="F90" s="280"/>
      <c r="G90" s="188"/>
      <c r="H90" s="188"/>
      <c r="I90" s="243"/>
      <c r="J90" s="188"/>
      <c r="K90" s="188"/>
      <c r="L90" s="188"/>
      <c r="N90" s="241"/>
      <c r="O90" s="241"/>
      <c r="P90" s="278"/>
      <c r="Q90" s="278"/>
      <c r="R90" s="278"/>
      <c r="S90" s="278"/>
      <c r="T90" s="241"/>
      <c r="U90" s="241"/>
      <c r="V90" s="241"/>
    </row>
    <row r="91" spans="1:22" s="241" customFormat="1" x14ac:dyDescent="0.2">
      <c r="E91" s="248"/>
      <c r="F91" s="280"/>
      <c r="G91" s="188"/>
      <c r="H91" s="188"/>
      <c r="I91" s="243"/>
      <c r="J91" s="188"/>
      <c r="K91" s="188"/>
      <c r="L91" s="188"/>
      <c r="M91" s="188"/>
      <c r="P91" s="278"/>
      <c r="Q91" s="278"/>
      <c r="R91" s="278"/>
      <c r="S91" s="278"/>
    </row>
    <row r="92" spans="1:22" s="241" customFormat="1" x14ac:dyDescent="0.2">
      <c r="E92" s="248"/>
      <c r="F92" s="280"/>
      <c r="G92" s="188"/>
      <c r="H92" s="188"/>
      <c r="I92" s="243"/>
      <c r="J92" s="188"/>
      <c r="K92" s="188"/>
      <c r="L92" s="188"/>
      <c r="M92" s="188"/>
      <c r="P92" s="278"/>
      <c r="Q92" s="278"/>
      <c r="R92" s="278"/>
      <c r="S92" s="278"/>
    </row>
    <row r="93" spans="1:22" s="241" customFormat="1" x14ac:dyDescent="0.2">
      <c r="E93" s="248"/>
      <c r="F93" s="280"/>
      <c r="G93" s="188"/>
      <c r="H93" s="188"/>
      <c r="I93" s="243"/>
      <c r="J93" s="188"/>
      <c r="K93" s="188"/>
      <c r="L93" s="188"/>
      <c r="M93" s="188"/>
      <c r="P93" s="278"/>
      <c r="Q93" s="278"/>
      <c r="R93" s="278"/>
      <c r="S93" s="278"/>
    </row>
    <row r="94" spans="1:22" s="241" customFormat="1" x14ac:dyDescent="0.2">
      <c r="E94" s="248"/>
      <c r="F94" s="280"/>
      <c r="G94" s="188"/>
      <c r="H94" s="188"/>
      <c r="I94" s="243"/>
      <c r="J94" s="188"/>
      <c r="K94" s="188"/>
      <c r="L94" s="188"/>
      <c r="P94" s="278"/>
      <c r="Q94" s="278"/>
      <c r="R94" s="278"/>
      <c r="S94" s="278"/>
    </row>
    <row r="95" spans="1:22" s="241" customFormat="1" x14ac:dyDescent="0.2">
      <c r="E95" s="248"/>
      <c r="F95" s="280"/>
      <c r="G95" s="188"/>
      <c r="H95" s="188"/>
      <c r="I95" s="243"/>
      <c r="J95" s="188"/>
      <c r="K95" s="188"/>
      <c r="L95" s="188"/>
      <c r="P95" s="278"/>
      <c r="Q95" s="278"/>
      <c r="R95" s="278"/>
      <c r="S95" s="278"/>
    </row>
    <row r="96" spans="1:22" s="241" customFormat="1" x14ac:dyDescent="0.2">
      <c r="E96" s="248"/>
      <c r="F96" s="280"/>
      <c r="G96" s="188"/>
      <c r="H96" s="188"/>
      <c r="I96" s="243"/>
      <c r="J96" s="188"/>
      <c r="K96" s="188"/>
      <c r="L96" s="188"/>
      <c r="P96" s="278"/>
      <c r="Q96" s="278"/>
      <c r="R96" s="278"/>
      <c r="S96" s="278"/>
    </row>
    <row r="97" spans="5:19" s="241" customFormat="1" x14ac:dyDescent="0.2">
      <c r="E97" s="248"/>
      <c r="F97" s="280"/>
      <c r="G97" s="188"/>
      <c r="H97" s="188"/>
      <c r="I97" s="243"/>
      <c r="J97" s="188"/>
      <c r="K97" s="188"/>
      <c r="L97" s="188"/>
      <c r="P97" s="278"/>
      <c r="Q97" s="278"/>
      <c r="R97" s="278"/>
      <c r="S97" s="278"/>
    </row>
    <row r="98" spans="5:19" s="241" customFormat="1" x14ac:dyDescent="0.2">
      <c r="E98" s="248"/>
      <c r="F98" s="280"/>
      <c r="G98" s="188"/>
      <c r="H98" s="188"/>
      <c r="I98" s="243"/>
      <c r="J98" s="188"/>
      <c r="K98" s="188"/>
      <c r="L98" s="188"/>
      <c r="P98" s="278"/>
      <c r="Q98" s="278"/>
      <c r="R98" s="278"/>
      <c r="S98" s="278"/>
    </row>
    <row r="99" spans="5:19" s="241" customFormat="1" x14ac:dyDescent="0.2">
      <c r="E99" s="248"/>
      <c r="F99" s="280"/>
      <c r="G99" s="188"/>
      <c r="H99" s="188"/>
      <c r="I99" s="243"/>
      <c r="J99" s="188"/>
      <c r="K99" s="188"/>
      <c r="L99" s="188"/>
      <c r="P99" s="278"/>
      <c r="Q99" s="278"/>
      <c r="R99" s="278"/>
      <c r="S99" s="278"/>
    </row>
    <row r="100" spans="5:19" s="241" customFormat="1" x14ac:dyDescent="0.2">
      <c r="E100" s="248"/>
      <c r="F100" s="280"/>
      <c r="G100" s="188"/>
      <c r="H100" s="188"/>
      <c r="I100" s="243"/>
      <c r="J100" s="188"/>
      <c r="K100" s="188"/>
      <c r="L100" s="188"/>
      <c r="P100" s="278"/>
      <c r="Q100" s="278"/>
      <c r="R100" s="278"/>
      <c r="S100" s="278"/>
    </row>
    <row r="101" spans="5:19" s="241" customFormat="1" x14ac:dyDescent="0.2">
      <c r="E101" s="248"/>
      <c r="F101" s="280"/>
      <c r="G101" s="188"/>
      <c r="H101" s="188"/>
      <c r="I101" s="243"/>
      <c r="J101" s="188"/>
      <c r="K101" s="188"/>
      <c r="L101" s="188"/>
      <c r="P101" s="278"/>
      <c r="Q101" s="278"/>
      <c r="R101" s="278"/>
      <c r="S101" s="278"/>
    </row>
    <row r="102" spans="5:19" s="241" customFormat="1" x14ac:dyDescent="0.2">
      <c r="E102" s="248"/>
      <c r="F102" s="280"/>
      <c r="G102" s="188"/>
      <c r="H102" s="188"/>
      <c r="I102" s="243"/>
      <c r="J102" s="188"/>
      <c r="K102" s="188"/>
      <c r="L102" s="188"/>
      <c r="P102" s="278"/>
      <c r="Q102" s="278"/>
      <c r="R102" s="278"/>
      <c r="S102" s="278"/>
    </row>
    <row r="103" spans="5:19" s="241" customFormat="1" x14ac:dyDescent="0.2">
      <c r="E103" s="248"/>
      <c r="F103" s="280"/>
      <c r="G103" s="188"/>
      <c r="H103" s="188"/>
      <c r="I103" s="243"/>
      <c r="J103" s="188"/>
      <c r="K103" s="188"/>
      <c r="L103" s="188"/>
      <c r="P103" s="278"/>
      <c r="Q103" s="278"/>
      <c r="R103" s="278"/>
      <c r="S103" s="278"/>
    </row>
    <row r="104" spans="5:19" s="241" customFormat="1" x14ac:dyDescent="0.2">
      <c r="E104" s="248"/>
      <c r="F104" s="280"/>
      <c r="G104" s="188"/>
      <c r="H104" s="188"/>
      <c r="I104" s="243"/>
      <c r="J104" s="188"/>
      <c r="K104" s="188"/>
      <c r="L104" s="188"/>
      <c r="P104" s="278"/>
      <c r="Q104" s="278"/>
      <c r="R104" s="278"/>
      <c r="S104" s="278"/>
    </row>
    <row r="105" spans="5:19" s="241" customFormat="1" x14ac:dyDescent="0.2">
      <c r="E105" s="248"/>
      <c r="F105" s="280"/>
      <c r="G105" s="188"/>
      <c r="H105" s="188"/>
      <c r="I105" s="243"/>
      <c r="J105" s="188"/>
      <c r="K105" s="188"/>
      <c r="L105" s="188"/>
      <c r="P105" s="278"/>
      <c r="Q105" s="278"/>
      <c r="R105" s="278"/>
      <c r="S105" s="278"/>
    </row>
    <row r="106" spans="5:19" s="241" customFormat="1" x14ac:dyDescent="0.2">
      <c r="E106" s="248"/>
      <c r="F106" s="280"/>
      <c r="G106" s="188"/>
      <c r="H106" s="188"/>
      <c r="I106" s="243"/>
      <c r="J106" s="188"/>
      <c r="K106" s="188"/>
      <c r="L106" s="188"/>
      <c r="P106" s="278"/>
      <c r="Q106" s="278"/>
      <c r="R106" s="278"/>
      <c r="S106" s="278"/>
    </row>
    <row r="107" spans="5:19" s="241" customFormat="1" x14ac:dyDescent="0.2">
      <c r="E107" s="248"/>
      <c r="F107" s="280"/>
      <c r="G107" s="188"/>
      <c r="H107" s="188"/>
      <c r="I107" s="243"/>
      <c r="J107" s="188"/>
      <c r="K107" s="188"/>
      <c r="L107" s="188"/>
      <c r="P107" s="278"/>
      <c r="Q107" s="278"/>
      <c r="R107" s="278"/>
      <c r="S107" s="278"/>
    </row>
    <row r="108" spans="5:19" s="241" customFormat="1" x14ac:dyDescent="0.2">
      <c r="E108" s="248"/>
      <c r="F108" s="280"/>
      <c r="G108" s="188"/>
      <c r="H108" s="188"/>
      <c r="I108" s="243"/>
      <c r="J108" s="188"/>
      <c r="K108" s="188"/>
      <c r="L108" s="188"/>
      <c r="P108" s="278"/>
      <c r="Q108" s="278"/>
      <c r="R108" s="278"/>
      <c r="S108" s="278"/>
    </row>
    <row r="109" spans="5:19" s="241" customFormat="1" x14ac:dyDescent="0.2">
      <c r="E109" s="248"/>
      <c r="F109" s="280"/>
      <c r="G109" s="188"/>
      <c r="H109" s="188"/>
      <c r="I109" s="243"/>
      <c r="J109" s="188"/>
      <c r="K109" s="188"/>
      <c r="L109" s="188"/>
      <c r="P109" s="278"/>
      <c r="Q109" s="278"/>
      <c r="R109" s="278"/>
      <c r="S109" s="278"/>
    </row>
    <row r="110" spans="5:19" s="241" customFormat="1" x14ac:dyDescent="0.2">
      <c r="E110" s="248"/>
      <c r="F110" s="280"/>
      <c r="G110" s="188"/>
      <c r="H110" s="188"/>
      <c r="I110" s="243"/>
      <c r="J110" s="188"/>
      <c r="K110" s="188"/>
      <c r="L110" s="188"/>
      <c r="P110" s="278"/>
      <c r="Q110" s="278"/>
      <c r="R110" s="278"/>
      <c r="S110" s="278"/>
    </row>
    <row r="111" spans="5:19" s="241" customFormat="1" x14ac:dyDescent="0.2">
      <c r="E111" s="248"/>
      <c r="F111" s="280"/>
      <c r="G111" s="188"/>
      <c r="H111" s="188"/>
      <c r="I111" s="243"/>
      <c r="J111" s="188"/>
      <c r="K111" s="188"/>
      <c r="L111" s="188"/>
      <c r="P111" s="278"/>
      <c r="Q111" s="278"/>
      <c r="R111" s="278"/>
      <c r="S111" s="278"/>
    </row>
    <row r="112" spans="5:19" s="241" customFormat="1" x14ac:dyDescent="0.2">
      <c r="E112" s="248"/>
      <c r="F112" s="280"/>
      <c r="G112" s="188"/>
      <c r="H112" s="188"/>
      <c r="I112" s="243"/>
      <c r="J112" s="188"/>
      <c r="K112" s="188"/>
      <c r="L112" s="188"/>
      <c r="P112" s="278"/>
      <c r="Q112" s="278"/>
      <c r="R112" s="278"/>
      <c r="S112" s="278"/>
    </row>
    <row r="113" spans="5:19" s="241" customFormat="1" x14ac:dyDescent="0.2">
      <c r="E113" s="248"/>
      <c r="F113" s="280"/>
      <c r="G113" s="188"/>
      <c r="H113" s="188"/>
      <c r="I113" s="243"/>
      <c r="J113" s="188"/>
      <c r="K113" s="188"/>
      <c r="L113" s="188"/>
      <c r="P113" s="278"/>
      <c r="Q113" s="278"/>
      <c r="R113" s="278"/>
      <c r="S113" s="278"/>
    </row>
    <row r="114" spans="5:19" s="241" customFormat="1" x14ac:dyDescent="0.2">
      <c r="E114" s="248"/>
      <c r="F114" s="280"/>
      <c r="G114" s="188"/>
      <c r="H114" s="188"/>
      <c r="I114" s="243"/>
      <c r="J114" s="188"/>
      <c r="K114" s="188"/>
      <c r="L114" s="188"/>
      <c r="P114" s="278"/>
      <c r="Q114" s="278"/>
      <c r="R114" s="278"/>
      <c r="S114" s="278"/>
    </row>
    <row r="115" spans="5:19" s="241" customFormat="1" x14ac:dyDescent="0.2">
      <c r="E115" s="248"/>
      <c r="F115" s="280"/>
      <c r="G115" s="188"/>
      <c r="H115" s="188"/>
      <c r="I115" s="243"/>
      <c r="J115" s="188"/>
      <c r="K115" s="188"/>
      <c r="L115" s="188"/>
      <c r="P115" s="278"/>
      <c r="Q115" s="278"/>
      <c r="R115" s="278"/>
      <c r="S115" s="278"/>
    </row>
    <row r="116" spans="5:19" s="241" customFormat="1" x14ac:dyDescent="0.2">
      <c r="E116" s="248"/>
      <c r="F116" s="280"/>
      <c r="G116" s="188"/>
      <c r="H116" s="188"/>
      <c r="I116" s="243"/>
      <c r="J116" s="188"/>
      <c r="K116" s="188"/>
      <c r="L116" s="188"/>
      <c r="P116" s="278"/>
      <c r="Q116" s="278"/>
      <c r="R116" s="278"/>
      <c r="S116" s="278"/>
    </row>
    <row r="117" spans="5:19" s="241" customFormat="1" x14ac:dyDescent="0.2">
      <c r="E117" s="248"/>
      <c r="F117" s="280"/>
      <c r="G117" s="188"/>
      <c r="H117" s="188"/>
      <c r="I117" s="243"/>
      <c r="J117" s="188"/>
      <c r="K117" s="188"/>
      <c r="L117" s="188"/>
      <c r="P117" s="278"/>
      <c r="Q117" s="278"/>
      <c r="R117" s="278"/>
      <c r="S117" s="278"/>
    </row>
    <row r="118" spans="5:19" s="241" customFormat="1" x14ac:dyDescent="0.2">
      <c r="E118" s="248"/>
      <c r="F118" s="280"/>
      <c r="G118" s="188"/>
      <c r="H118" s="188"/>
      <c r="I118" s="243"/>
      <c r="J118" s="188"/>
      <c r="K118" s="188"/>
      <c r="L118" s="188"/>
      <c r="P118" s="278"/>
      <c r="Q118" s="278"/>
      <c r="R118" s="278"/>
      <c r="S118" s="278"/>
    </row>
    <row r="119" spans="5:19" s="241" customFormat="1" x14ac:dyDescent="0.2">
      <c r="E119" s="248"/>
      <c r="F119" s="280"/>
      <c r="G119" s="188"/>
      <c r="H119" s="188"/>
      <c r="I119" s="243"/>
      <c r="J119" s="188"/>
      <c r="K119" s="188"/>
      <c r="L119" s="188"/>
      <c r="P119" s="278"/>
      <c r="Q119" s="278"/>
      <c r="R119" s="278"/>
      <c r="S119" s="278"/>
    </row>
    <row r="120" spans="5:19" s="241" customFormat="1" x14ac:dyDescent="0.2">
      <c r="E120" s="248"/>
      <c r="F120" s="280"/>
      <c r="G120" s="188"/>
      <c r="H120" s="188"/>
      <c r="I120" s="243"/>
      <c r="J120" s="188"/>
      <c r="K120" s="188"/>
      <c r="L120" s="188"/>
      <c r="P120" s="278"/>
      <c r="Q120" s="278"/>
      <c r="R120" s="278"/>
      <c r="S120" s="278"/>
    </row>
    <row r="121" spans="5:19" s="241" customFormat="1" x14ac:dyDescent="0.2">
      <c r="E121" s="248"/>
      <c r="F121" s="280"/>
      <c r="G121" s="188"/>
      <c r="H121" s="188"/>
      <c r="I121" s="243"/>
      <c r="J121" s="188"/>
      <c r="K121" s="188"/>
      <c r="L121" s="188"/>
      <c r="P121" s="278"/>
      <c r="Q121" s="278"/>
      <c r="R121" s="278"/>
      <c r="S121" s="278"/>
    </row>
    <row r="122" spans="5:19" s="241" customFormat="1" x14ac:dyDescent="0.2">
      <c r="E122" s="248"/>
      <c r="F122" s="280"/>
      <c r="G122" s="188"/>
      <c r="H122" s="188"/>
      <c r="I122" s="243"/>
      <c r="J122" s="188"/>
      <c r="K122" s="188"/>
      <c r="L122" s="188"/>
      <c r="P122" s="278"/>
      <c r="Q122" s="278"/>
      <c r="R122" s="278"/>
      <c r="S122" s="278"/>
    </row>
    <row r="123" spans="5:19" s="241" customFormat="1" x14ac:dyDescent="0.2">
      <c r="E123" s="248"/>
      <c r="F123" s="280"/>
      <c r="G123" s="188"/>
      <c r="H123" s="188"/>
      <c r="I123" s="243"/>
      <c r="J123" s="188"/>
      <c r="K123" s="188"/>
      <c r="L123" s="188"/>
      <c r="P123" s="278"/>
      <c r="Q123" s="278"/>
      <c r="R123" s="278"/>
      <c r="S123" s="278"/>
    </row>
    <row r="124" spans="5:19" s="241" customFormat="1" x14ac:dyDescent="0.2">
      <c r="E124" s="248"/>
      <c r="F124" s="280"/>
      <c r="G124" s="188"/>
      <c r="H124" s="188"/>
      <c r="I124" s="243"/>
      <c r="J124" s="188"/>
      <c r="K124" s="188"/>
      <c r="L124" s="188"/>
      <c r="P124" s="278"/>
      <c r="Q124" s="278"/>
      <c r="R124" s="278"/>
      <c r="S124" s="278"/>
    </row>
    <row r="125" spans="5:19" s="241" customFormat="1" x14ac:dyDescent="0.2">
      <c r="E125" s="248"/>
      <c r="F125" s="280"/>
      <c r="G125" s="188"/>
      <c r="H125" s="188"/>
      <c r="I125" s="243"/>
      <c r="J125" s="188"/>
      <c r="K125" s="188"/>
      <c r="L125" s="188"/>
      <c r="P125" s="278"/>
      <c r="Q125" s="278"/>
      <c r="R125" s="278"/>
      <c r="S125" s="278"/>
    </row>
    <row r="126" spans="5:19" s="241" customFormat="1" x14ac:dyDescent="0.2">
      <c r="E126" s="248"/>
      <c r="F126" s="280"/>
      <c r="G126" s="188"/>
      <c r="H126" s="188"/>
      <c r="I126" s="243"/>
      <c r="J126" s="188"/>
      <c r="K126" s="188"/>
      <c r="L126" s="188"/>
      <c r="P126" s="278"/>
      <c r="Q126" s="278"/>
      <c r="R126" s="278"/>
      <c r="S126" s="278"/>
    </row>
    <row r="127" spans="5:19" s="241" customFormat="1" x14ac:dyDescent="0.2">
      <c r="E127" s="248"/>
      <c r="F127" s="280"/>
      <c r="G127" s="188"/>
      <c r="H127" s="188"/>
      <c r="I127" s="243"/>
      <c r="J127" s="188"/>
      <c r="K127" s="188"/>
      <c r="L127" s="188"/>
      <c r="P127" s="278"/>
      <c r="Q127" s="278"/>
      <c r="R127" s="278"/>
      <c r="S127" s="278"/>
    </row>
    <row r="128" spans="5:19" s="241" customFormat="1" x14ac:dyDescent="0.2">
      <c r="E128" s="248"/>
      <c r="F128" s="280"/>
      <c r="G128" s="188"/>
      <c r="H128" s="188"/>
      <c r="I128" s="243"/>
      <c r="J128" s="188"/>
      <c r="K128" s="188"/>
      <c r="L128" s="188"/>
      <c r="P128" s="278"/>
      <c r="Q128" s="278"/>
      <c r="R128" s="278"/>
      <c r="S128" s="278"/>
    </row>
    <row r="129" spans="1:22" s="241" customFormat="1" x14ac:dyDescent="0.2">
      <c r="E129" s="248"/>
      <c r="F129" s="280"/>
      <c r="G129" s="188"/>
      <c r="H129" s="188"/>
      <c r="I129" s="243"/>
      <c r="J129" s="188"/>
      <c r="K129" s="188"/>
      <c r="L129" s="188"/>
      <c r="P129" s="278"/>
      <c r="Q129" s="278"/>
      <c r="R129" s="278"/>
      <c r="S129" s="278"/>
    </row>
    <row r="130" spans="1:22" s="241" customFormat="1" x14ac:dyDescent="0.2">
      <c r="E130" s="248"/>
      <c r="F130" s="280"/>
      <c r="G130" s="188"/>
      <c r="H130" s="188"/>
      <c r="I130" s="243"/>
      <c r="J130" s="188"/>
      <c r="K130" s="188"/>
      <c r="L130" s="188"/>
      <c r="P130" s="278"/>
      <c r="Q130" s="278"/>
      <c r="R130" s="278"/>
      <c r="S130" s="278"/>
    </row>
    <row r="131" spans="1:22" s="241" customFormat="1" x14ac:dyDescent="0.2">
      <c r="E131" s="248"/>
      <c r="F131" s="280"/>
      <c r="G131" s="188"/>
      <c r="H131" s="188"/>
      <c r="I131" s="243"/>
      <c r="J131" s="188"/>
      <c r="K131" s="188"/>
      <c r="L131" s="188"/>
      <c r="P131" s="278"/>
      <c r="Q131" s="278"/>
      <c r="R131" s="244"/>
      <c r="S131" s="244"/>
      <c r="T131" s="188"/>
      <c r="U131" s="188"/>
      <c r="V131" s="188"/>
    </row>
    <row r="132" spans="1:22" s="241" customFormat="1" x14ac:dyDescent="0.2">
      <c r="E132" s="248"/>
      <c r="F132" s="280"/>
      <c r="G132" s="188"/>
      <c r="H132" s="188"/>
      <c r="I132" s="243"/>
      <c r="J132" s="188"/>
      <c r="K132" s="188"/>
      <c r="L132" s="188"/>
      <c r="P132" s="278"/>
      <c r="Q132" s="278"/>
      <c r="R132" s="244"/>
      <c r="S132" s="244"/>
      <c r="T132" s="188"/>
      <c r="U132" s="188"/>
      <c r="V132" s="188"/>
    </row>
    <row r="133" spans="1:22" s="241" customFormat="1" x14ac:dyDescent="0.2">
      <c r="E133" s="248"/>
      <c r="F133" s="280"/>
      <c r="G133" s="188"/>
      <c r="H133" s="188"/>
      <c r="I133" s="243"/>
      <c r="J133" s="188"/>
      <c r="K133" s="188"/>
      <c r="L133" s="188"/>
      <c r="P133" s="278"/>
      <c r="Q133" s="278"/>
      <c r="R133" s="244"/>
      <c r="S133" s="244"/>
      <c r="T133" s="188"/>
      <c r="U133" s="188"/>
      <c r="V133" s="188"/>
    </row>
    <row r="134" spans="1:22" s="241" customFormat="1" x14ac:dyDescent="0.2">
      <c r="E134" s="248"/>
      <c r="F134" s="280"/>
      <c r="G134" s="188"/>
      <c r="H134" s="188"/>
      <c r="I134" s="243"/>
      <c r="J134" s="188"/>
      <c r="K134" s="188"/>
      <c r="L134" s="188"/>
      <c r="P134" s="278"/>
      <c r="Q134" s="278"/>
      <c r="R134" s="244"/>
      <c r="S134" s="244"/>
      <c r="T134" s="188"/>
      <c r="U134" s="188"/>
      <c r="V134" s="188"/>
    </row>
    <row r="135" spans="1:22" s="241" customFormat="1" x14ac:dyDescent="0.2">
      <c r="E135" s="248"/>
      <c r="F135" s="280"/>
      <c r="G135" s="188"/>
      <c r="H135" s="188"/>
      <c r="I135" s="243"/>
      <c r="J135" s="188"/>
      <c r="K135" s="188"/>
      <c r="L135" s="188"/>
      <c r="P135" s="278"/>
      <c r="Q135" s="278"/>
      <c r="R135" s="244"/>
      <c r="S135" s="244"/>
      <c r="T135" s="188"/>
      <c r="U135" s="188"/>
      <c r="V135" s="188"/>
    </row>
    <row r="136" spans="1:22" s="241" customFormat="1" x14ac:dyDescent="0.2">
      <c r="E136" s="248"/>
      <c r="F136" s="280"/>
      <c r="G136" s="188"/>
      <c r="H136" s="188"/>
      <c r="I136" s="243"/>
      <c r="J136" s="188"/>
      <c r="K136" s="188"/>
      <c r="L136" s="188"/>
      <c r="N136" s="188"/>
      <c r="O136" s="243"/>
      <c r="P136" s="289"/>
      <c r="Q136" s="244"/>
      <c r="R136" s="244"/>
      <c r="S136" s="244"/>
      <c r="T136" s="188"/>
      <c r="U136" s="188"/>
      <c r="V136" s="188"/>
    </row>
    <row r="137" spans="1:22" s="241" customFormat="1" x14ac:dyDescent="0.2">
      <c r="E137" s="248"/>
      <c r="F137" s="280"/>
      <c r="G137" s="188"/>
      <c r="H137" s="188"/>
      <c r="I137" s="243"/>
      <c r="J137" s="188"/>
      <c r="K137" s="188"/>
      <c r="L137" s="188"/>
      <c r="N137" s="188"/>
      <c r="O137" s="243"/>
      <c r="P137" s="289"/>
      <c r="Q137" s="244"/>
      <c r="R137" s="244"/>
      <c r="S137" s="244"/>
      <c r="T137" s="188"/>
      <c r="U137" s="188"/>
      <c r="V137" s="188"/>
    </row>
    <row r="138" spans="1:22" s="241" customFormat="1" x14ac:dyDescent="0.2">
      <c r="E138" s="248"/>
      <c r="F138" s="280"/>
      <c r="G138" s="188"/>
      <c r="H138" s="188"/>
      <c r="I138" s="243"/>
      <c r="J138" s="188"/>
      <c r="K138" s="188"/>
      <c r="L138" s="188"/>
      <c r="N138" s="188"/>
      <c r="O138" s="243"/>
      <c r="P138" s="289"/>
      <c r="Q138" s="244"/>
      <c r="R138" s="244"/>
      <c r="S138" s="244"/>
      <c r="T138" s="188"/>
      <c r="U138" s="188"/>
      <c r="V138" s="188"/>
    </row>
    <row r="139" spans="1:22" s="241" customFormat="1" x14ac:dyDescent="0.2">
      <c r="E139" s="248"/>
      <c r="F139" s="280"/>
      <c r="G139" s="188"/>
      <c r="H139" s="188"/>
      <c r="I139" s="243"/>
      <c r="J139" s="188"/>
      <c r="K139" s="188"/>
      <c r="L139" s="188"/>
      <c r="N139" s="188"/>
      <c r="O139" s="243"/>
      <c r="P139" s="289"/>
      <c r="Q139" s="244"/>
      <c r="R139" s="244"/>
      <c r="S139" s="244"/>
      <c r="T139" s="188"/>
      <c r="U139" s="188"/>
      <c r="V139" s="188"/>
    </row>
    <row r="140" spans="1:22" s="241" customFormat="1" x14ac:dyDescent="0.2">
      <c r="A140" s="188"/>
      <c r="B140" s="188"/>
      <c r="C140" s="290"/>
      <c r="D140" s="290"/>
      <c r="E140" s="290"/>
      <c r="F140" s="290"/>
      <c r="H140" s="278"/>
      <c r="J140" s="188"/>
      <c r="K140" s="188"/>
      <c r="L140" s="188"/>
      <c r="N140" s="188"/>
      <c r="O140" s="243"/>
      <c r="P140" s="289"/>
      <c r="Q140" s="244"/>
      <c r="R140" s="244"/>
      <c r="S140" s="244"/>
      <c r="T140" s="188"/>
      <c r="U140" s="188"/>
      <c r="V140" s="188"/>
    </row>
    <row r="141" spans="1:22" s="241" customFormat="1" x14ac:dyDescent="0.2">
      <c r="A141" s="188"/>
      <c r="B141" s="188"/>
      <c r="C141" s="290"/>
      <c r="D141" s="290"/>
      <c r="E141" s="290"/>
      <c r="F141" s="290"/>
      <c r="H141" s="278"/>
      <c r="J141" s="188"/>
      <c r="K141" s="188"/>
      <c r="L141" s="188"/>
      <c r="N141" s="188"/>
      <c r="O141" s="243"/>
      <c r="P141" s="289"/>
      <c r="Q141" s="244"/>
      <c r="R141" s="244"/>
      <c r="S141" s="244"/>
      <c r="T141" s="188"/>
      <c r="U141" s="188"/>
      <c r="V141" s="188"/>
    </row>
    <row r="142" spans="1:22" s="241" customFormat="1" x14ac:dyDescent="0.2">
      <c r="A142" s="188"/>
      <c r="B142" s="188"/>
      <c r="C142" s="290"/>
      <c r="D142" s="290"/>
      <c r="E142" s="290"/>
      <c r="F142" s="290"/>
      <c r="H142" s="278"/>
      <c r="J142" s="188"/>
      <c r="K142" s="188"/>
      <c r="L142" s="188"/>
      <c r="N142" s="188"/>
      <c r="O142" s="243"/>
      <c r="P142" s="289"/>
      <c r="Q142" s="244"/>
      <c r="R142" s="244"/>
      <c r="S142" s="244"/>
      <c r="T142" s="188"/>
      <c r="U142" s="188"/>
      <c r="V142" s="188"/>
    </row>
    <row r="143" spans="1:22" s="241" customFormat="1" x14ac:dyDescent="0.2">
      <c r="A143" s="188"/>
      <c r="B143" s="188"/>
      <c r="C143" s="290"/>
      <c r="D143" s="290"/>
      <c r="E143" s="290"/>
      <c r="F143" s="290"/>
      <c r="H143" s="278"/>
      <c r="J143" s="188"/>
      <c r="K143" s="188"/>
      <c r="L143" s="188"/>
      <c r="N143" s="188"/>
      <c r="O143" s="243"/>
      <c r="P143" s="289"/>
      <c r="Q143" s="244"/>
      <c r="R143" s="244"/>
      <c r="S143" s="244"/>
      <c r="T143" s="188"/>
      <c r="U143" s="188"/>
      <c r="V143" s="188"/>
    </row>
    <row r="144" spans="1:22" s="241" customFormat="1" x14ac:dyDescent="0.2">
      <c r="A144" s="188"/>
      <c r="B144" s="188"/>
      <c r="C144" s="290"/>
      <c r="D144" s="290"/>
      <c r="E144" s="290"/>
      <c r="F144" s="290"/>
      <c r="H144" s="278"/>
      <c r="J144" s="188"/>
      <c r="K144" s="188"/>
      <c r="L144" s="188"/>
      <c r="N144" s="188"/>
      <c r="O144" s="243"/>
      <c r="P144" s="289"/>
      <c r="Q144" s="244"/>
      <c r="R144" s="244"/>
      <c r="S144" s="244"/>
      <c r="T144" s="188"/>
      <c r="U144" s="188"/>
      <c r="V144" s="188"/>
    </row>
    <row r="145" spans="1:22" s="241" customFormat="1" x14ac:dyDescent="0.2">
      <c r="A145" s="188"/>
      <c r="B145" s="188"/>
      <c r="C145" s="290"/>
      <c r="D145" s="290"/>
      <c r="E145" s="290"/>
      <c r="F145" s="290"/>
      <c r="H145" s="278"/>
      <c r="J145" s="188"/>
      <c r="K145" s="188"/>
      <c r="L145" s="188"/>
      <c r="N145" s="188"/>
      <c r="O145" s="243"/>
      <c r="P145" s="289"/>
      <c r="Q145" s="244"/>
      <c r="R145" s="244"/>
      <c r="S145" s="244"/>
      <c r="T145" s="188"/>
      <c r="U145" s="188"/>
      <c r="V145" s="188"/>
    </row>
    <row r="146" spans="1:22" s="241" customFormat="1" x14ac:dyDescent="0.2">
      <c r="A146" s="188"/>
      <c r="B146" s="188"/>
      <c r="C146" s="290"/>
      <c r="D146" s="290"/>
      <c r="E146" s="290"/>
      <c r="F146" s="290"/>
      <c r="H146" s="278"/>
      <c r="K146" s="188"/>
      <c r="L146" s="188"/>
      <c r="N146" s="188"/>
      <c r="O146" s="243"/>
      <c r="P146" s="289"/>
      <c r="Q146" s="244"/>
      <c r="R146" s="244"/>
      <c r="S146" s="244"/>
      <c r="T146" s="188"/>
      <c r="U146" s="188"/>
      <c r="V146" s="188"/>
    </row>
    <row r="147" spans="1:22" s="241" customFormat="1" x14ac:dyDescent="0.2">
      <c r="A147" s="188"/>
      <c r="B147" s="188"/>
      <c r="C147" s="290"/>
      <c r="D147" s="290"/>
      <c r="E147" s="290"/>
      <c r="F147" s="290"/>
      <c r="H147" s="278"/>
      <c r="K147" s="188"/>
      <c r="L147" s="188"/>
      <c r="N147" s="188"/>
      <c r="O147" s="243"/>
      <c r="P147" s="289"/>
      <c r="Q147" s="244"/>
      <c r="R147" s="244"/>
      <c r="S147" s="244"/>
      <c r="T147" s="188"/>
      <c r="U147" s="188"/>
      <c r="V147" s="188"/>
    </row>
    <row r="148" spans="1:22" x14ac:dyDescent="0.2">
      <c r="K148" s="188"/>
      <c r="L148" s="188"/>
      <c r="M148" s="241"/>
    </row>
    <row r="149" spans="1:22" x14ac:dyDescent="0.2">
      <c r="L149" s="188"/>
      <c r="M149" s="241"/>
    </row>
    <row r="150" spans="1:22" x14ac:dyDescent="0.2">
      <c r="L150" s="188"/>
      <c r="M150" s="241"/>
    </row>
    <row r="151" spans="1:22" x14ac:dyDescent="0.2">
      <c r="L151" s="188"/>
    </row>
    <row r="152" spans="1:22" x14ac:dyDescent="0.2">
      <c r="L152" s="188"/>
    </row>
    <row r="153" spans="1:22" x14ac:dyDescent="0.2">
      <c r="L153" s="188"/>
    </row>
  </sheetData>
  <conditionalFormatting sqref="P6:P11 Z6:Z11">
    <cfRule type="aboveAverage" dxfId="29" priority="3" aboveAverage="0" stdDev="1"/>
    <cfRule type="aboveAverage" dxfId="28" priority="4" stdDev="1"/>
  </conditionalFormatting>
  <conditionalFormatting sqref="P45:P58 Z45:Z58 B21:B44">
    <cfRule type="aboveAverage" dxfId="27" priority="5" aboveAverage="0" stdDev="1"/>
    <cfRule type="aboveAverage" dxfId="26" priority="6" stdDev="1"/>
  </conditionalFormatting>
  <conditionalFormatting sqref="C36">
    <cfRule type="aboveAverage" dxfId="25" priority="1" aboveAverage="0" stdDev="1"/>
    <cfRule type="aboveAverage" dxfId="24" priority="2" stdDev="1"/>
  </conditionalFormatting>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AA4F7-3FA0-42ED-ADC8-A9E31A565ED6}">
  <dimension ref="A1:Z153"/>
  <sheetViews>
    <sheetView workbookViewId="0">
      <selection activeCell="I1" sqref="I1"/>
    </sheetView>
  </sheetViews>
  <sheetFormatPr defaultColWidth="7.85546875" defaultRowHeight="11.25" x14ac:dyDescent="0.2"/>
  <cols>
    <col min="1" max="1" width="22.7109375" style="188" customWidth="1"/>
    <col min="2" max="2" width="22" style="188" customWidth="1"/>
    <col min="3" max="3" width="15.42578125" style="290" customWidth="1"/>
    <col min="4" max="4" width="14.28515625" style="290" customWidth="1"/>
    <col min="5" max="5" width="11.85546875" style="290" customWidth="1"/>
    <col min="6" max="6" width="18.28515625" style="290" customWidth="1"/>
    <col min="7" max="7" width="13.7109375" style="241" customWidth="1"/>
    <col min="8" max="8" width="18.7109375" style="278" customWidth="1"/>
    <col min="9" max="9" width="10.7109375" style="241" customWidth="1"/>
    <col min="10" max="10" width="8.5703125" style="241" customWidth="1"/>
    <col min="11" max="11" width="13.5703125" style="248" customWidth="1"/>
    <col min="12" max="12" width="7" style="280" customWidth="1"/>
    <col min="13" max="13" width="10.28515625" style="188" customWidth="1"/>
    <col min="14" max="14" width="5.7109375" style="188" bestFit="1" customWidth="1"/>
    <col min="15" max="15" width="16.5703125" style="243" customWidth="1"/>
    <col min="16" max="16" width="5.85546875" style="289" bestFit="1" customWidth="1"/>
    <col min="17" max="17" width="14" style="244" bestFit="1" customWidth="1"/>
    <col min="18" max="18" width="6" style="244" bestFit="1" customWidth="1"/>
    <col min="19" max="19" width="8.7109375" style="244" bestFit="1" customWidth="1"/>
    <col min="20" max="21" width="17.28515625" style="188" bestFit="1" customWidth="1"/>
    <col min="22" max="22" width="9.28515625" style="188" bestFit="1" customWidth="1"/>
    <col min="23" max="27" width="5.28515625" style="188" customWidth="1"/>
    <col min="28" max="28" width="17" style="188" customWidth="1"/>
    <col min="29" max="16384" width="7.85546875" style="188"/>
  </cols>
  <sheetData>
    <row r="1" spans="1:24" s="218" customFormat="1" ht="12.75" x14ac:dyDescent="0.2">
      <c r="A1" s="210" t="s">
        <v>81</v>
      </c>
      <c r="B1" s="211" t="s">
        <v>82</v>
      </c>
      <c r="C1" s="212"/>
      <c r="D1" s="211"/>
      <c r="E1" s="213"/>
      <c r="F1" s="213"/>
      <c r="G1" s="214"/>
      <c r="H1" s="215" t="s">
        <v>83</v>
      </c>
      <c r="I1" s="216">
        <f>MAX(A12:A14)*2.54/100</f>
        <v>3.3273999999999999</v>
      </c>
      <c r="J1" s="217" t="s">
        <v>84</v>
      </c>
      <c r="K1" s="211"/>
      <c r="L1" s="211"/>
      <c r="N1" s="219"/>
      <c r="P1" s="220"/>
      <c r="Q1" s="220"/>
      <c r="R1" s="220"/>
      <c r="S1" s="220"/>
    </row>
    <row r="2" spans="1:24" s="218" customFormat="1" ht="12.75" x14ac:dyDescent="0.2">
      <c r="A2" s="221" t="s">
        <v>85</v>
      </c>
      <c r="B2" s="211" t="s">
        <v>115</v>
      </c>
      <c r="C2" s="222"/>
      <c r="D2" s="211"/>
      <c r="E2" s="223"/>
      <c r="F2" s="223"/>
      <c r="G2" s="224"/>
      <c r="H2" s="225" t="s">
        <v>86</v>
      </c>
      <c r="I2" s="226">
        <f>I12/100</f>
        <v>2.73</v>
      </c>
      <c r="J2" s="227" t="s">
        <v>87</v>
      </c>
      <c r="K2" s="211"/>
      <c r="L2" s="211"/>
      <c r="N2" s="228"/>
      <c r="P2" s="220"/>
      <c r="Q2" s="220"/>
      <c r="R2" s="220"/>
      <c r="S2" s="220"/>
    </row>
    <row r="3" spans="1:24" s="231" customFormat="1" ht="11.25" customHeight="1" x14ac:dyDescent="0.2">
      <c r="A3" s="229" t="s">
        <v>88</v>
      </c>
      <c r="B3" s="230">
        <v>41797</v>
      </c>
      <c r="C3" s="222"/>
      <c r="D3" s="223"/>
      <c r="E3" s="223"/>
      <c r="F3" s="223"/>
      <c r="G3" s="224"/>
      <c r="H3" s="229" t="s">
        <v>89</v>
      </c>
      <c r="I3" s="226">
        <f>AVERAGE(I12:I21)/100</f>
        <v>2.9219999999999997</v>
      </c>
      <c r="J3" s="227"/>
      <c r="K3" s="211"/>
      <c r="L3" s="211"/>
      <c r="N3" s="232"/>
      <c r="P3" s="233"/>
      <c r="Q3" s="233"/>
      <c r="R3" s="233"/>
      <c r="S3" s="233"/>
    </row>
    <row r="4" spans="1:24" s="218" customFormat="1" ht="12.75" x14ac:dyDescent="0.2">
      <c r="A4" s="229" t="s">
        <v>90</v>
      </c>
      <c r="B4" s="234" t="s">
        <v>158</v>
      </c>
      <c r="C4" s="222"/>
      <c r="D4" s="223"/>
      <c r="E4" s="223"/>
      <c r="F4" s="223"/>
      <c r="G4" s="224"/>
      <c r="H4" s="229" t="s">
        <v>91</v>
      </c>
      <c r="I4" s="226">
        <f>AVERAGE(E12:E14)</f>
        <v>0.37414136462792286</v>
      </c>
      <c r="J4" s="227"/>
      <c r="K4" s="211"/>
      <c r="L4" s="211"/>
      <c r="M4" s="219"/>
      <c r="N4" s="219"/>
      <c r="P4" s="220"/>
      <c r="Q4" s="220"/>
      <c r="R4" s="220"/>
      <c r="S4" s="220"/>
    </row>
    <row r="5" spans="1:24" s="239" customFormat="1" ht="12.75" x14ac:dyDescent="0.2">
      <c r="A5" s="221" t="s">
        <v>92</v>
      </c>
      <c r="B5" s="235" t="s">
        <v>93</v>
      </c>
      <c r="C5" s="222"/>
      <c r="D5" s="223"/>
      <c r="E5" s="223"/>
      <c r="F5" s="236"/>
      <c r="G5" s="236"/>
      <c r="H5" s="229"/>
      <c r="I5" s="237"/>
      <c r="J5" s="227"/>
      <c r="K5" s="211"/>
      <c r="L5" s="211"/>
      <c r="M5" s="238"/>
      <c r="N5" s="238"/>
      <c r="P5" s="240"/>
      <c r="Q5" s="240"/>
      <c r="R5" s="240"/>
      <c r="S5" s="240"/>
    </row>
    <row r="6" spans="1:24" x14ac:dyDescent="0.2">
      <c r="A6" s="241"/>
      <c r="B6" s="241"/>
      <c r="C6" s="241"/>
      <c r="D6" s="241"/>
      <c r="E6" s="242"/>
      <c r="F6" s="238"/>
      <c r="G6" s="238"/>
      <c r="H6" s="243"/>
      <c r="I6" s="243"/>
      <c r="J6" s="188"/>
      <c r="K6" s="188"/>
      <c r="L6" s="243"/>
      <c r="M6" s="243"/>
      <c r="O6" s="188"/>
      <c r="P6" s="244"/>
    </row>
    <row r="7" spans="1:24" x14ac:dyDescent="0.2">
      <c r="A7" s="241"/>
      <c r="B7" s="241"/>
      <c r="C7" s="241"/>
      <c r="D7" s="241"/>
      <c r="E7" s="242"/>
      <c r="F7" s="245"/>
      <c r="G7" s="246"/>
      <c r="H7" s="243"/>
      <c r="I7" s="243"/>
      <c r="J7" s="188"/>
      <c r="K7" s="188"/>
      <c r="L7" s="243"/>
      <c r="M7" s="243"/>
      <c r="O7" s="188"/>
      <c r="P7" s="244"/>
    </row>
    <row r="8" spans="1:24" ht="12" thickBot="1" x14ac:dyDescent="0.25">
      <c r="A8" s="241"/>
      <c r="B8" s="241"/>
      <c r="C8" s="247"/>
      <c r="D8" s="247"/>
      <c r="E8" s="248"/>
      <c r="F8" s="188"/>
      <c r="G8" s="188"/>
      <c r="H8" s="218" t="s">
        <v>94</v>
      </c>
      <c r="I8" s="243"/>
      <c r="J8" s="188"/>
      <c r="K8" s="218" t="s">
        <v>95</v>
      </c>
      <c r="L8" s="243"/>
      <c r="M8" s="243"/>
      <c r="O8" s="219" t="s">
        <v>96</v>
      </c>
      <c r="P8" s="244"/>
    </row>
    <row r="9" spans="1:24" x14ac:dyDescent="0.2">
      <c r="A9" s="249"/>
      <c r="B9" s="250"/>
      <c r="C9" s="243"/>
      <c r="D9" s="243"/>
      <c r="E9" s="250"/>
      <c r="F9" s="250"/>
      <c r="G9" s="251"/>
      <c r="H9" s="249"/>
      <c r="I9" s="252"/>
      <c r="J9" s="251"/>
      <c r="K9" s="253"/>
      <c r="L9" s="254"/>
      <c r="M9" s="255"/>
      <c r="P9" s="244"/>
      <c r="W9" s="243"/>
      <c r="X9" s="243"/>
    </row>
    <row r="10" spans="1:24" x14ac:dyDescent="0.2">
      <c r="A10" s="256" t="s">
        <v>97</v>
      </c>
      <c r="B10" s="245" t="s">
        <v>98</v>
      </c>
      <c r="C10" s="257" t="s">
        <v>99</v>
      </c>
      <c r="D10" s="258" t="s">
        <v>100</v>
      </c>
      <c r="E10" s="245" t="s">
        <v>31</v>
      </c>
      <c r="F10" s="259" t="s">
        <v>74</v>
      </c>
      <c r="G10" s="251"/>
      <c r="H10" s="245" t="s">
        <v>101</v>
      </c>
      <c r="I10" s="260" t="s">
        <v>102</v>
      </c>
      <c r="J10" s="188"/>
      <c r="K10" s="261" t="s">
        <v>103</v>
      </c>
      <c r="L10" s="228" t="s">
        <v>104</v>
      </c>
      <c r="M10" s="262" t="s">
        <v>105</v>
      </c>
      <c r="O10" s="218" t="s">
        <v>106</v>
      </c>
      <c r="P10" s="244"/>
      <c r="W10" s="263"/>
    </row>
    <row r="11" spans="1:24" ht="12" thickBot="1" x14ac:dyDescent="0.25">
      <c r="A11" s="264" t="s">
        <v>107</v>
      </c>
      <c r="B11" s="265" t="s">
        <v>107</v>
      </c>
      <c r="C11" s="266" t="s">
        <v>108</v>
      </c>
      <c r="D11" s="267" t="s">
        <v>108</v>
      </c>
      <c r="E11" s="268" t="s">
        <v>76</v>
      </c>
      <c r="F11" s="269"/>
      <c r="G11" s="251"/>
      <c r="H11" s="270"/>
      <c r="I11" s="271" t="s">
        <v>109</v>
      </c>
      <c r="J11" s="188"/>
      <c r="K11" s="272"/>
      <c r="L11" s="273"/>
      <c r="M11" s="274" t="s">
        <v>110</v>
      </c>
      <c r="O11" s="188" t="s">
        <v>111</v>
      </c>
      <c r="P11" s="244"/>
      <c r="W11" s="243"/>
    </row>
    <row r="12" spans="1:24" x14ac:dyDescent="0.2">
      <c r="A12" s="292">
        <v>125</v>
      </c>
      <c r="B12" s="292"/>
      <c r="C12" s="250">
        <v>186</v>
      </c>
      <c r="D12" s="275">
        <v>138</v>
      </c>
      <c r="E12" s="276">
        <f>(C12-D12)/A12</f>
        <v>0.38400000000000001</v>
      </c>
      <c r="F12" s="188"/>
      <c r="G12" s="188"/>
      <c r="H12" s="188" t="s">
        <v>159</v>
      </c>
      <c r="I12" s="287">
        <v>273</v>
      </c>
      <c r="J12" s="188"/>
      <c r="K12" s="188"/>
      <c r="L12" s="188" t="s">
        <v>112</v>
      </c>
      <c r="M12" s="277" t="s">
        <v>113</v>
      </c>
      <c r="O12" s="244">
        <f>I1/I3</f>
        <v>1.1387405886379194</v>
      </c>
      <c r="P12" s="244"/>
    </row>
    <row r="13" spans="1:24" x14ac:dyDescent="0.2">
      <c r="A13" s="292">
        <v>89.7</v>
      </c>
      <c r="B13" s="292"/>
      <c r="C13" s="188">
        <v>170</v>
      </c>
      <c r="D13" s="278">
        <v>138</v>
      </c>
      <c r="E13" s="279">
        <f t="shared" ref="E13:E14" si="0">(C13-D13)/A13</f>
        <v>0.35674470457079149</v>
      </c>
      <c r="F13" s="188"/>
      <c r="G13" s="188"/>
      <c r="H13" s="188" t="s">
        <v>118</v>
      </c>
      <c r="I13" s="287">
        <v>269</v>
      </c>
      <c r="J13" s="188"/>
      <c r="K13" s="188" t="s">
        <v>114</v>
      </c>
      <c r="L13" s="188"/>
      <c r="O13" s="188"/>
      <c r="P13" s="244"/>
    </row>
    <row r="14" spans="1:24" ht="22.5" x14ac:dyDescent="0.2">
      <c r="A14" s="292">
        <v>131</v>
      </c>
      <c r="B14" s="292"/>
      <c r="C14" s="188">
        <v>188</v>
      </c>
      <c r="D14" s="278">
        <v>138</v>
      </c>
      <c r="E14" s="279">
        <f t="shared" si="0"/>
        <v>0.38167938931297712</v>
      </c>
      <c r="F14" s="487" t="s">
        <v>160</v>
      </c>
      <c r="G14" s="188"/>
      <c r="H14" s="188" t="s">
        <v>118</v>
      </c>
      <c r="I14" s="287">
        <v>310</v>
      </c>
      <c r="J14" s="188"/>
      <c r="K14" s="188"/>
      <c r="L14" s="188"/>
      <c r="O14" s="188"/>
      <c r="P14" s="244"/>
    </row>
    <row r="15" spans="1:24" x14ac:dyDescent="0.2">
      <c r="A15" s="291"/>
      <c r="B15" s="291"/>
      <c r="C15" s="241"/>
      <c r="D15" s="241"/>
      <c r="E15" s="248"/>
      <c r="F15" s="280"/>
      <c r="G15" s="188"/>
      <c r="H15" s="188" t="s">
        <v>118</v>
      </c>
      <c r="I15" s="287">
        <v>315</v>
      </c>
      <c r="J15" s="188"/>
      <c r="K15" s="188" t="s">
        <v>87</v>
      </c>
      <c r="L15" s="188"/>
      <c r="O15" s="188"/>
      <c r="P15" s="244"/>
    </row>
    <row r="16" spans="1:24" ht="15" x14ac:dyDescent="0.25">
      <c r="A16"/>
      <c r="B16"/>
      <c r="C16"/>
      <c r="D16"/>
      <c r="E16"/>
      <c r="F16" s="280"/>
      <c r="G16" s="188"/>
      <c r="H16" s="188" t="s">
        <v>118</v>
      </c>
      <c r="I16" s="287">
        <v>323</v>
      </c>
      <c r="J16" s="188"/>
      <c r="K16" s="188"/>
      <c r="L16" s="188"/>
      <c r="O16" s="188"/>
      <c r="P16" s="244"/>
    </row>
    <row r="17" spans="1:9" s="239" customFormat="1" ht="15" x14ac:dyDescent="0.25">
      <c r="A17"/>
      <c r="B17"/>
      <c r="C17"/>
      <c r="D17"/>
      <c r="E17"/>
      <c r="H17" s="188" t="s">
        <v>118</v>
      </c>
      <c r="I17" s="287">
        <v>272</v>
      </c>
    </row>
    <row r="18" spans="1:9" s="238" customFormat="1" ht="15" x14ac:dyDescent="0.25">
      <c r="A18"/>
      <c r="B18"/>
      <c r="C18"/>
      <c r="D18"/>
      <c r="E18"/>
      <c r="H18" s="188" t="s">
        <v>118</v>
      </c>
      <c r="I18" s="287">
        <v>293</v>
      </c>
    </row>
    <row r="19" spans="1:9" s="239" customFormat="1" ht="13.35" customHeight="1" x14ac:dyDescent="0.2">
      <c r="H19" s="188" t="s">
        <v>118</v>
      </c>
      <c r="I19" s="287">
        <v>269</v>
      </c>
    </row>
    <row r="20" spans="1:9" s="282" customFormat="1" ht="15" x14ac:dyDescent="0.25">
      <c r="A20"/>
      <c r="B20"/>
      <c r="C20"/>
      <c r="D20"/>
      <c r="E20"/>
      <c r="F20"/>
      <c r="H20" s="188" t="s">
        <v>118</v>
      </c>
      <c r="I20" s="287">
        <v>281</v>
      </c>
    </row>
    <row r="21" spans="1:9" s="285" customFormat="1" ht="13.35" customHeight="1" x14ac:dyDescent="0.25">
      <c r="A21" s="284"/>
      <c r="B21" s="284"/>
      <c r="C21" s="284"/>
      <c r="D21" s="284"/>
      <c r="E21" s="284"/>
      <c r="F21"/>
      <c r="H21" s="188" t="s">
        <v>118</v>
      </c>
      <c r="I21" s="287">
        <v>317</v>
      </c>
    </row>
    <row r="22" spans="1:9" s="285" customFormat="1" ht="15" x14ac:dyDescent="0.25">
      <c r="A22"/>
      <c r="B22"/>
      <c r="C22"/>
      <c r="D22"/>
      <c r="E22"/>
      <c r="F22"/>
      <c r="I22" s="287"/>
    </row>
    <row r="23" spans="1:9" s="285" customFormat="1" ht="15" x14ac:dyDescent="0.25">
      <c r="A23"/>
      <c r="B23"/>
      <c r="C23"/>
      <c r="D23"/>
      <c r="E23"/>
      <c r="F23"/>
      <c r="I23" s="287"/>
    </row>
    <row r="24" spans="1:9" s="285" customFormat="1" ht="15" x14ac:dyDescent="0.25">
      <c r="A24"/>
      <c r="B24"/>
      <c r="C24"/>
      <c r="D24"/>
      <c r="E24"/>
      <c r="F24"/>
      <c r="I24" s="287"/>
    </row>
    <row r="25" spans="1:9" s="285" customFormat="1" x14ac:dyDescent="0.25">
      <c r="I25" s="287"/>
    </row>
    <row r="26" spans="1:9" s="287" customFormat="1" x14ac:dyDescent="0.25"/>
    <row r="27" spans="1:9" s="287" customFormat="1" x14ac:dyDescent="0.25"/>
    <row r="28" spans="1:9" s="287" customFormat="1" x14ac:dyDescent="0.25"/>
    <row r="29" spans="1:9" s="287" customFormat="1" x14ac:dyDescent="0.25"/>
    <row r="30" spans="1:9" s="287" customFormat="1" x14ac:dyDescent="0.25"/>
    <row r="31" spans="1:9" s="287" customFormat="1" x14ac:dyDescent="0.25"/>
    <row r="32" spans="1:9" s="287" customFormat="1" x14ac:dyDescent="0.25"/>
    <row r="33" spans="1:19" s="287" customFormat="1" x14ac:dyDescent="0.25"/>
    <row r="34" spans="1:19" x14ac:dyDescent="0.2">
      <c r="A34" s="287"/>
      <c r="C34" s="188"/>
      <c r="D34" s="188"/>
      <c r="E34" s="188"/>
      <c r="F34" s="188"/>
      <c r="G34" s="188"/>
      <c r="H34" s="188"/>
      <c r="I34" s="188"/>
      <c r="J34" s="188"/>
      <c r="K34" s="188"/>
      <c r="L34" s="188"/>
      <c r="O34" s="188"/>
      <c r="P34" s="188"/>
      <c r="Q34" s="188"/>
      <c r="R34" s="188"/>
      <c r="S34" s="188"/>
    </row>
    <row r="35" spans="1:19" x14ac:dyDescent="0.2">
      <c r="A35" s="287"/>
      <c r="C35" s="188"/>
      <c r="D35" s="188"/>
      <c r="E35" s="188"/>
      <c r="F35" s="188"/>
      <c r="G35" s="188"/>
      <c r="H35" s="188"/>
      <c r="I35" s="188"/>
      <c r="J35" s="188"/>
      <c r="K35" s="188"/>
      <c r="L35" s="188"/>
      <c r="O35" s="188"/>
      <c r="P35" s="188"/>
      <c r="Q35" s="188"/>
      <c r="R35" s="188"/>
      <c r="S35" s="188"/>
    </row>
    <row r="36" spans="1:19" ht="15" x14ac:dyDescent="0.25">
      <c r="A36" s="287"/>
      <c r="C36"/>
      <c r="D36" s="188"/>
      <c r="E36" s="188"/>
      <c r="F36" s="188"/>
      <c r="G36" s="188"/>
      <c r="H36" s="188"/>
      <c r="I36" s="188"/>
      <c r="J36" s="188"/>
      <c r="K36" s="188"/>
      <c r="L36" s="188"/>
      <c r="O36" s="188"/>
      <c r="P36" s="188"/>
      <c r="Q36" s="188"/>
      <c r="R36" s="188"/>
      <c r="S36" s="188"/>
    </row>
    <row r="37" spans="1:19" x14ac:dyDescent="0.2">
      <c r="A37" s="287"/>
      <c r="C37" s="188"/>
      <c r="D37" s="188"/>
      <c r="E37" s="188"/>
      <c r="F37" s="188"/>
      <c r="G37" s="188"/>
      <c r="H37" s="188"/>
      <c r="I37" s="188"/>
      <c r="J37" s="188"/>
      <c r="K37" s="188"/>
      <c r="L37" s="188"/>
      <c r="O37" s="188"/>
      <c r="P37" s="188"/>
      <c r="Q37" s="188"/>
      <c r="R37" s="188"/>
      <c r="S37" s="188"/>
    </row>
    <row r="38" spans="1:19" x14ac:dyDescent="0.2">
      <c r="A38" s="287"/>
      <c r="C38" s="188"/>
      <c r="D38" s="188"/>
      <c r="E38" s="188"/>
      <c r="F38" s="188"/>
      <c r="G38" s="188"/>
      <c r="H38" s="188"/>
      <c r="I38" s="188"/>
      <c r="J38" s="188"/>
      <c r="K38" s="188"/>
      <c r="L38" s="188"/>
      <c r="O38" s="188"/>
      <c r="P38" s="188"/>
      <c r="Q38" s="188"/>
      <c r="R38" s="188"/>
      <c r="S38" s="188"/>
    </row>
    <row r="39" spans="1:19" x14ac:dyDescent="0.2">
      <c r="C39" s="188"/>
      <c r="D39" s="188"/>
      <c r="E39" s="188"/>
      <c r="F39" s="188"/>
      <c r="G39" s="188"/>
      <c r="H39" s="188"/>
      <c r="I39" s="188"/>
      <c r="J39" s="188"/>
      <c r="K39" s="188"/>
      <c r="L39" s="188"/>
      <c r="O39" s="188"/>
      <c r="P39" s="188"/>
      <c r="Q39" s="188"/>
      <c r="R39" s="188"/>
      <c r="S39" s="188"/>
    </row>
    <row r="40" spans="1:19" x14ac:dyDescent="0.2">
      <c r="C40" s="188"/>
      <c r="D40" s="188"/>
      <c r="E40" s="188"/>
      <c r="F40" s="188"/>
      <c r="G40" s="188"/>
      <c r="H40" s="188"/>
      <c r="I40" s="188"/>
      <c r="J40" s="188"/>
      <c r="K40" s="188"/>
      <c r="L40" s="188"/>
      <c r="O40" s="188"/>
      <c r="P40" s="188"/>
      <c r="Q40" s="188"/>
      <c r="R40" s="188"/>
      <c r="S40" s="188"/>
    </row>
    <row r="41" spans="1:19" x14ac:dyDescent="0.2">
      <c r="C41" s="188"/>
      <c r="D41" s="188"/>
      <c r="E41" s="188"/>
      <c r="F41" s="188"/>
      <c r="G41" s="188"/>
      <c r="H41" s="188"/>
      <c r="I41" s="188"/>
      <c r="J41" s="188"/>
      <c r="K41" s="188"/>
      <c r="L41" s="188"/>
      <c r="O41" s="188"/>
      <c r="P41" s="188"/>
      <c r="Q41" s="188"/>
      <c r="R41" s="188"/>
      <c r="S41" s="188"/>
    </row>
    <row r="42" spans="1:19" x14ac:dyDescent="0.2">
      <c r="C42" s="188"/>
      <c r="D42" s="188"/>
      <c r="E42" s="188"/>
      <c r="F42" s="188"/>
      <c r="G42" s="188"/>
      <c r="H42" s="188"/>
      <c r="I42" s="188"/>
      <c r="J42" s="188"/>
      <c r="K42" s="188"/>
      <c r="L42" s="188"/>
      <c r="O42" s="188"/>
      <c r="P42" s="188"/>
      <c r="Q42" s="188"/>
      <c r="R42" s="188"/>
      <c r="S42" s="188"/>
    </row>
    <row r="43" spans="1:19" x14ac:dyDescent="0.2">
      <c r="C43" s="188"/>
      <c r="D43" s="188"/>
      <c r="E43" s="188"/>
      <c r="F43" s="188"/>
      <c r="G43" s="188"/>
      <c r="H43" s="188"/>
      <c r="I43" s="188"/>
      <c r="J43" s="188"/>
      <c r="K43" s="188"/>
      <c r="L43" s="188"/>
      <c r="O43" s="188"/>
      <c r="P43" s="188"/>
      <c r="Q43" s="188"/>
      <c r="R43" s="188"/>
      <c r="S43" s="188"/>
    </row>
    <row r="44" spans="1:19" x14ac:dyDescent="0.2">
      <c r="C44" s="188"/>
      <c r="D44" s="188"/>
      <c r="E44" s="188"/>
      <c r="F44" s="188"/>
      <c r="G44" s="188"/>
      <c r="H44" s="188"/>
      <c r="I44" s="188"/>
      <c r="J44" s="188"/>
      <c r="K44" s="188"/>
      <c r="L44" s="188"/>
      <c r="O44" s="188"/>
      <c r="P44" s="188"/>
      <c r="Q44" s="188"/>
      <c r="R44" s="188"/>
      <c r="S44" s="188"/>
    </row>
    <row r="45" spans="1:19" x14ac:dyDescent="0.2">
      <c r="C45" s="188"/>
      <c r="D45" s="188"/>
      <c r="E45" s="188"/>
      <c r="F45" s="188"/>
      <c r="G45" s="188"/>
      <c r="H45" s="188"/>
      <c r="I45" s="243"/>
      <c r="J45" s="188"/>
      <c r="K45" s="188"/>
      <c r="L45" s="243"/>
      <c r="M45" s="243"/>
      <c r="O45" s="188"/>
      <c r="P45" s="244"/>
    </row>
    <row r="46" spans="1:19" x14ac:dyDescent="0.2">
      <c r="C46" s="188"/>
      <c r="D46" s="188"/>
      <c r="E46" s="188"/>
      <c r="F46" s="188"/>
      <c r="G46" s="188"/>
      <c r="H46" s="188"/>
      <c r="I46" s="243"/>
      <c r="J46" s="188"/>
      <c r="K46" s="188"/>
      <c r="L46" s="243"/>
      <c r="M46" s="243"/>
      <c r="O46" s="188"/>
      <c r="P46" s="244"/>
    </row>
    <row r="47" spans="1:19" x14ac:dyDescent="0.2">
      <c r="C47" s="188"/>
      <c r="D47" s="188"/>
      <c r="E47" s="188"/>
      <c r="F47" s="188"/>
      <c r="G47" s="188"/>
      <c r="H47" s="188"/>
      <c r="I47" s="243"/>
      <c r="J47" s="188"/>
      <c r="K47" s="188"/>
      <c r="L47" s="243"/>
      <c r="M47" s="243"/>
      <c r="O47" s="188"/>
      <c r="P47" s="244"/>
    </row>
    <row r="48" spans="1:19" x14ac:dyDescent="0.2">
      <c r="C48" s="188"/>
      <c r="D48" s="188"/>
      <c r="E48" s="188"/>
      <c r="F48" s="188"/>
      <c r="G48" s="188"/>
      <c r="H48" s="188"/>
      <c r="I48" s="188"/>
      <c r="J48" s="288"/>
      <c r="K48" s="188"/>
      <c r="L48" s="243"/>
      <c r="M48" s="243"/>
      <c r="O48" s="188"/>
      <c r="P48" s="244"/>
    </row>
    <row r="49" spans="1:26" x14ac:dyDescent="0.2">
      <c r="C49" s="188"/>
      <c r="D49" s="188"/>
      <c r="E49" s="188"/>
      <c r="F49" s="188"/>
      <c r="G49" s="188"/>
      <c r="H49" s="188"/>
      <c r="I49" s="188"/>
      <c r="J49" s="288"/>
      <c r="K49" s="188"/>
      <c r="L49" s="243"/>
      <c r="M49" s="243"/>
      <c r="O49" s="188"/>
      <c r="P49" s="244"/>
    </row>
    <row r="50" spans="1:26" x14ac:dyDescent="0.2">
      <c r="A50" s="241"/>
      <c r="B50" s="241"/>
      <c r="C50" s="241"/>
      <c r="D50" s="241"/>
      <c r="E50" s="248"/>
      <c r="F50" s="280"/>
      <c r="G50" s="188"/>
      <c r="H50" s="188"/>
      <c r="I50" s="243"/>
      <c r="J50" s="188"/>
      <c r="K50" s="188"/>
      <c r="L50" s="243"/>
      <c r="M50" s="243"/>
      <c r="O50" s="188"/>
      <c r="P50" s="244"/>
    </row>
    <row r="51" spans="1:26" x14ac:dyDescent="0.2">
      <c r="A51" s="241"/>
      <c r="B51" s="241"/>
      <c r="C51" s="241"/>
      <c r="D51" s="241"/>
      <c r="E51" s="248"/>
      <c r="F51" s="280"/>
      <c r="G51" s="188"/>
      <c r="H51" s="188"/>
      <c r="I51" s="243"/>
      <c r="J51" s="188"/>
      <c r="K51" s="188"/>
      <c r="L51" s="243"/>
      <c r="M51" s="243"/>
      <c r="O51" s="188"/>
      <c r="P51" s="244"/>
    </row>
    <row r="52" spans="1:26" x14ac:dyDescent="0.2">
      <c r="A52" s="241"/>
      <c r="B52" s="241"/>
      <c r="C52" s="241"/>
      <c r="D52" s="241"/>
      <c r="E52" s="248"/>
      <c r="F52" s="280"/>
      <c r="G52" s="188"/>
      <c r="H52" s="188"/>
      <c r="I52" s="243"/>
      <c r="J52" s="188"/>
      <c r="K52" s="188"/>
      <c r="L52" s="243"/>
      <c r="M52" s="243"/>
      <c r="O52" s="188"/>
      <c r="P52" s="244"/>
    </row>
    <row r="53" spans="1:26" x14ac:dyDescent="0.2">
      <c r="A53" s="241"/>
      <c r="B53" s="241"/>
      <c r="C53" s="241"/>
      <c r="D53" s="241"/>
      <c r="E53" s="248"/>
      <c r="F53" s="280"/>
      <c r="G53" s="188"/>
      <c r="H53" s="188"/>
      <c r="I53" s="243"/>
      <c r="J53" s="188"/>
      <c r="K53" s="188"/>
      <c r="L53" s="243"/>
      <c r="M53" s="243"/>
      <c r="O53" s="188"/>
      <c r="P53" s="244"/>
    </row>
    <row r="54" spans="1:26" x14ac:dyDescent="0.2">
      <c r="A54" s="241"/>
      <c r="B54" s="241"/>
      <c r="C54" s="241"/>
      <c r="D54" s="241"/>
      <c r="E54" s="248"/>
      <c r="F54" s="280"/>
      <c r="G54" s="188"/>
      <c r="H54" s="188"/>
      <c r="I54" s="243"/>
      <c r="J54" s="188"/>
      <c r="K54" s="188"/>
      <c r="L54" s="243"/>
      <c r="M54" s="243"/>
      <c r="O54" s="188"/>
      <c r="P54" s="244"/>
    </row>
    <row r="55" spans="1:26" x14ac:dyDescent="0.2">
      <c r="A55" s="241"/>
      <c r="B55" s="241"/>
      <c r="C55" s="241"/>
      <c r="D55" s="241"/>
      <c r="E55" s="248"/>
      <c r="F55" s="280"/>
      <c r="G55" s="188"/>
      <c r="H55" s="188"/>
      <c r="I55" s="243"/>
      <c r="J55" s="188"/>
      <c r="K55" s="188"/>
      <c r="L55" s="243"/>
      <c r="O55" s="188"/>
      <c r="P55" s="244"/>
      <c r="W55" s="243"/>
      <c r="X55" s="243"/>
    </row>
    <row r="56" spans="1:26" x14ac:dyDescent="0.2">
      <c r="A56" s="241"/>
      <c r="B56" s="241"/>
      <c r="C56" s="241"/>
      <c r="D56" s="241"/>
      <c r="E56" s="248"/>
      <c r="F56" s="280"/>
      <c r="G56" s="188"/>
      <c r="H56" s="188"/>
      <c r="I56" s="243"/>
      <c r="J56" s="188"/>
      <c r="K56" s="188"/>
      <c r="L56" s="243"/>
      <c r="O56" s="188"/>
      <c r="P56" s="244"/>
      <c r="W56" s="263"/>
      <c r="X56" s="243"/>
      <c r="Y56" s="243"/>
      <c r="Z56" s="243"/>
    </row>
    <row r="57" spans="1:26" x14ac:dyDescent="0.2">
      <c r="A57" s="241"/>
      <c r="B57" s="241"/>
      <c r="C57" s="241"/>
      <c r="D57" s="241"/>
      <c r="E57" s="248"/>
      <c r="F57" s="280"/>
      <c r="G57" s="188"/>
      <c r="H57" s="188"/>
      <c r="I57" s="243"/>
      <c r="J57" s="188"/>
      <c r="K57" s="188"/>
      <c r="L57" s="188"/>
      <c r="O57" s="188"/>
      <c r="P57" s="244"/>
      <c r="W57" s="263"/>
    </row>
    <row r="58" spans="1:26" x14ac:dyDescent="0.2">
      <c r="A58" s="241"/>
      <c r="B58" s="241"/>
      <c r="C58" s="241"/>
      <c r="D58" s="241"/>
      <c r="E58" s="248"/>
      <c r="F58" s="280"/>
      <c r="G58" s="188"/>
      <c r="H58" s="188"/>
      <c r="I58" s="243"/>
      <c r="J58" s="188"/>
      <c r="K58" s="188"/>
      <c r="L58" s="188"/>
      <c r="O58" s="188"/>
      <c r="P58" s="244"/>
      <c r="W58" s="243"/>
    </row>
    <row r="59" spans="1:26" x14ac:dyDescent="0.2">
      <c r="A59" s="241"/>
      <c r="B59" s="241"/>
      <c r="C59" s="241"/>
      <c r="D59" s="241"/>
      <c r="E59" s="248"/>
      <c r="F59" s="280"/>
      <c r="G59" s="188"/>
      <c r="H59" s="188"/>
      <c r="I59" s="243"/>
      <c r="J59" s="188"/>
      <c r="K59" s="188"/>
      <c r="L59" s="188"/>
      <c r="O59" s="188"/>
      <c r="P59" s="244"/>
    </row>
    <row r="60" spans="1:26" x14ac:dyDescent="0.2">
      <c r="A60" s="241"/>
      <c r="B60" s="241"/>
      <c r="C60" s="241"/>
      <c r="D60" s="241"/>
      <c r="E60" s="248"/>
      <c r="F60" s="280"/>
      <c r="G60" s="188"/>
      <c r="H60" s="188"/>
      <c r="I60" s="243"/>
      <c r="J60" s="188"/>
      <c r="K60" s="188"/>
      <c r="L60" s="188"/>
      <c r="O60" s="188"/>
      <c r="P60" s="244"/>
    </row>
    <row r="61" spans="1:26" x14ac:dyDescent="0.2">
      <c r="A61" s="241"/>
      <c r="B61" s="241"/>
      <c r="C61" s="241"/>
      <c r="D61" s="241"/>
      <c r="E61" s="248"/>
      <c r="F61" s="280"/>
      <c r="G61" s="188"/>
      <c r="H61" s="188"/>
      <c r="I61" s="243"/>
      <c r="J61" s="188"/>
      <c r="K61" s="188"/>
      <c r="L61" s="188"/>
      <c r="O61" s="188"/>
      <c r="P61" s="244"/>
    </row>
    <row r="62" spans="1:26" x14ac:dyDescent="0.2">
      <c r="A62" s="241"/>
      <c r="B62" s="241"/>
      <c r="C62" s="241"/>
      <c r="D62" s="241"/>
      <c r="E62" s="248"/>
      <c r="F62" s="280"/>
      <c r="G62" s="188"/>
      <c r="H62" s="188"/>
      <c r="I62" s="243"/>
      <c r="J62" s="188"/>
      <c r="K62" s="188"/>
      <c r="L62" s="188"/>
      <c r="O62" s="188"/>
      <c r="P62" s="244"/>
    </row>
    <row r="63" spans="1:26" x14ac:dyDescent="0.2">
      <c r="A63" s="241"/>
      <c r="B63" s="241"/>
      <c r="C63" s="241"/>
      <c r="D63" s="241"/>
      <c r="E63" s="248"/>
      <c r="F63" s="280"/>
      <c r="G63" s="188"/>
      <c r="H63" s="188"/>
      <c r="I63" s="243"/>
      <c r="J63" s="188"/>
      <c r="K63" s="188"/>
      <c r="L63" s="188"/>
      <c r="O63" s="188"/>
      <c r="P63" s="244"/>
    </row>
    <row r="64" spans="1:26" x14ac:dyDescent="0.2">
      <c r="A64" s="241"/>
      <c r="B64" s="241"/>
      <c r="C64" s="241"/>
      <c r="D64" s="241"/>
      <c r="E64" s="248"/>
      <c r="F64" s="280"/>
      <c r="G64" s="188"/>
      <c r="H64" s="188"/>
      <c r="I64" s="243"/>
      <c r="J64" s="188"/>
      <c r="K64" s="188"/>
      <c r="L64" s="188"/>
      <c r="O64" s="188"/>
      <c r="P64" s="244"/>
    </row>
    <row r="65" spans="1:22" x14ac:dyDescent="0.2">
      <c r="A65" s="241"/>
      <c r="B65" s="241"/>
      <c r="C65" s="241"/>
      <c r="D65" s="241"/>
      <c r="E65" s="248"/>
      <c r="F65" s="280"/>
      <c r="G65" s="188"/>
      <c r="H65" s="188"/>
      <c r="I65" s="243"/>
      <c r="J65" s="188"/>
      <c r="K65" s="188"/>
      <c r="L65" s="188"/>
      <c r="O65" s="188"/>
      <c r="P65" s="244"/>
    </row>
    <row r="66" spans="1:22" x14ac:dyDescent="0.2">
      <c r="A66" s="241"/>
      <c r="B66" s="241"/>
      <c r="C66" s="241"/>
      <c r="D66" s="241"/>
      <c r="E66" s="248"/>
      <c r="F66" s="280"/>
      <c r="G66" s="188"/>
      <c r="H66" s="188"/>
      <c r="I66" s="243"/>
      <c r="J66" s="188"/>
      <c r="K66" s="188"/>
      <c r="L66" s="188"/>
      <c r="O66" s="188"/>
      <c r="P66" s="244"/>
    </row>
    <row r="67" spans="1:22" x14ac:dyDescent="0.2">
      <c r="A67" s="241"/>
      <c r="B67" s="241"/>
      <c r="C67" s="241"/>
      <c r="D67" s="241"/>
      <c r="E67" s="248"/>
      <c r="F67" s="280"/>
      <c r="G67" s="188"/>
      <c r="H67" s="188"/>
      <c r="I67" s="243"/>
      <c r="J67" s="188"/>
      <c r="K67" s="188"/>
      <c r="L67" s="188"/>
      <c r="O67" s="188"/>
      <c r="P67" s="244"/>
    </row>
    <row r="68" spans="1:22" x14ac:dyDescent="0.2">
      <c r="A68" s="241"/>
      <c r="B68" s="241"/>
      <c r="C68" s="241"/>
      <c r="D68" s="241"/>
      <c r="E68" s="248"/>
      <c r="F68" s="280"/>
      <c r="G68" s="244"/>
      <c r="H68" s="188"/>
      <c r="I68" s="243"/>
      <c r="J68" s="188"/>
      <c r="K68" s="188"/>
      <c r="L68" s="188"/>
      <c r="O68" s="188"/>
      <c r="P68" s="244"/>
    </row>
    <row r="69" spans="1:22" x14ac:dyDescent="0.2">
      <c r="A69" s="241"/>
      <c r="B69" s="241"/>
      <c r="C69" s="241"/>
      <c r="D69" s="241"/>
      <c r="E69" s="248"/>
      <c r="F69" s="280"/>
      <c r="G69" s="244"/>
      <c r="H69" s="188"/>
      <c r="I69" s="243"/>
      <c r="J69" s="188"/>
      <c r="K69" s="188"/>
      <c r="L69" s="188"/>
      <c r="O69" s="188"/>
      <c r="P69" s="244"/>
    </row>
    <row r="70" spans="1:22" x14ac:dyDescent="0.2">
      <c r="A70" s="241"/>
      <c r="B70" s="241"/>
      <c r="C70" s="241"/>
      <c r="D70" s="241"/>
      <c r="E70" s="248"/>
      <c r="F70" s="280"/>
      <c r="G70" s="244"/>
      <c r="H70" s="188"/>
      <c r="I70" s="243"/>
      <c r="J70" s="188"/>
      <c r="K70" s="188"/>
      <c r="L70" s="188"/>
      <c r="O70" s="188"/>
      <c r="P70" s="244"/>
    </row>
    <row r="71" spans="1:22" x14ac:dyDescent="0.2">
      <c r="A71" s="241"/>
      <c r="B71" s="241"/>
      <c r="C71" s="241"/>
      <c r="D71" s="241"/>
      <c r="E71" s="248"/>
      <c r="F71" s="280"/>
      <c r="G71" s="244"/>
      <c r="H71" s="188"/>
      <c r="I71" s="243"/>
      <c r="J71" s="188"/>
      <c r="K71" s="188"/>
      <c r="L71" s="188"/>
      <c r="O71" s="188"/>
      <c r="P71" s="244"/>
    </row>
    <row r="72" spans="1:22" x14ac:dyDescent="0.2">
      <c r="A72" s="241"/>
      <c r="B72" s="241"/>
      <c r="C72" s="241"/>
      <c r="D72" s="241"/>
      <c r="E72" s="248"/>
      <c r="F72" s="280"/>
      <c r="G72" s="188"/>
      <c r="H72" s="188"/>
      <c r="I72" s="243"/>
      <c r="J72" s="188"/>
      <c r="K72" s="188"/>
      <c r="L72" s="188"/>
      <c r="O72" s="188"/>
      <c r="P72" s="244"/>
    </row>
    <row r="73" spans="1:22" x14ac:dyDescent="0.2">
      <c r="A73" s="241"/>
      <c r="B73" s="241"/>
      <c r="C73" s="241"/>
      <c r="D73" s="241"/>
      <c r="E73" s="248"/>
      <c r="F73" s="280"/>
      <c r="G73" s="188"/>
      <c r="H73" s="188"/>
      <c r="I73" s="243"/>
      <c r="J73" s="188"/>
      <c r="K73" s="188"/>
      <c r="L73" s="188"/>
      <c r="O73" s="188"/>
      <c r="P73" s="244"/>
    </row>
    <row r="74" spans="1:22" x14ac:dyDescent="0.2">
      <c r="A74" s="241"/>
      <c r="B74" s="241"/>
      <c r="C74" s="241"/>
      <c r="D74" s="241"/>
      <c r="E74" s="248"/>
      <c r="F74" s="280"/>
      <c r="G74" s="188"/>
      <c r="H74" s="188"/>
      <c r="I74" s="243"/>
      <c r="J74" s="188"/>
      <c r="K74" s="188"/>
      <c r="L74" s="188"/>
      <c r="O74" s="188"/>
      <c r="P74" s="244"/>
      <c r="R74" s="278"/>
      <c r="S74" s="278"/>
      <c r="T74" s="241"/>
      <c r="U74" s="241"/>
      <c r="V74" s="241"/>
    </row>
    <row r="75" spans="1:22" x14ac:dyDescent="0.2">
      <c r="A75" s="241"/>
      <c r="B75" s="241"/>
      <c r="C75" s="241"/>
      <c r="D75" s="241"/>
      <c r="E75" s="248"/>
      <c r="F75" s="280"/>
      <c r="G75" s="188"/>
      <c r="H75" s="188"/>
      <c r="I75" s="243"/>
      <c r="J75" s="188"/>
      <c r="K75" s="188"/>
      <c r="L75" s="188"/>
      <c r="O75" s="188"/>
      <c r="P75" s="244"/>
      <c r="R75" s="278"/>
      <c r="S75" s="278"/>
      <c r="T75" s="241"/>
      <c r="U75" s="241"/>
      <c r="V75" s="241"/>
    </row>
    <row r="76" spans="1:22" x14ac:dyDescent="0.2">
      <c r="A76" s="241"/>
      <c r="B76" s="241"/>
      <c r="C76" s="241"/>
      <c r="D76" s="241"/>
      <c r="E76" s="248"/>
      <c r="F76" s="280"/>
      <c r="G76" s="188"/>
      <c r="H76" s="188"/>
      <c r="I76" s="243"/>
      <c r="J76" s="188"/>
      <c r="K76" s="188"/>
      <c r="L76" s="188"/>
      <c r="O76" s="188"/>
      <c r="P76" s="244"/>
      <c r="R76" s="278"/>
      <c r="S76" s="278"/>
      <c r="T76" s="241"/>
      <c r="U76" s="241"/>
      <c r="V76" s="241"/>
    </row>
    <row r="77" spans="1:22" x14ac:dyDescent="0.2">
      <c r="A77" s="241"/>
      <c r="B77" s="241"/>
      <c r="C77" s="241"/>
      <c r="D77" s="241"/>
      <c r="E77" s="248"/>
      <c r="F77" s="280"/>
      <c r="G77" s="188"/>
      <c r="H77" s="188"/>
      <c r="I77" s="243"/>
      <c r="J77" s="188"/>
      <c r="K77" s="188"/>
      <c r="L77" s="188"/>
      <c r="O77" s="188"/>
      <c r="P77" s="244"/>
      <c r="R77" s="278"/>
      <c r="S77" s="278"/>
      <c r="T77" s="241"/>
      <c r="U77" s="241"/>
      <c r="V77" s="241"/>
    </row>
    <row r="78" spans="1:22" x14ac:dyDescent="0.2">
      <c r="A78" s="241"/>
      <c r="B78" s="241"/>
      <c r="C78" s="241"/>
      <c r="D78" s="241"/>
      <c r="E78" s="248"/>
      <c r="F78" s="280"/>
      <c r="G78" s="188"/>
      <c r="H78" s="188"/>
      <c r="I78" s="243"/>
      <c r="J78" s="188"/>
      <c r="K78" s="188"/>
      <c r="L78" s="188"/>
      <c r="O78" s="188"/>
      <c r="P78" s="244"/>
      <c r="R78" s="278"/>
      <c r="S78" s="278"/>
      <c r="T78" s="241"/>
      <c r="U78" s="241"/>
      <c r="V78" s="241"/>
    </row>
    <row r="79" spans="1:22" x14ac:dyDescent="0.2">
      <c r="A79" s="241"/>
      <c r="B79" s="241"/>
      <c r="C79" s="241"/>
      <c r="D79" s="241"/>
      <c r="E79" s="248"/>
      <c r="F79" s="280"/>
      <c r="G79" s="188"/>
      <c r="H79" s="188"/>
      <c r="I79" s="243"/>
      <c r="J79" s="188"/>
      <c r="K79" s="188"/>
      <c r="L79" s="188"/>
      <c r="N79" s="241"/>
      <c r="O79" s="241"/>
      <c r="P79" s="278"/>
      <c r="Q79" s="278"/>
      <c r="R79" s="278"/>
      <c r="S79" s="278"/>
      <c r="T79" s="241"/>
      <c r="U79" s="241"/>
      <c r="V79" s="241"/>
    </row>
    <row r="80" spans="1:22" x14ac:dyDescent="0.2">
      <c r="A80" s="241"/>
      <c r="B80" s="241"/>
      <c r="C80" s="241"/>
      <c r="D80" s="241"/>
      <c r="E80" s="248"/>
      <c r="F80" s="280"/>
      <c r="G80" s="188"/>
      <c r="H80" s="188"/>
      <c r="I80" s="243"/>
      <c r="J80" s="188"/>
      <c r="K80" s="188"/>
      <c r="L80" s="188"/>
      <c r="N80" s="241"/>
      <c r="O80" s="241"/>
      <c r="P80" s="278"/>
      <c r="Q80" s="278"/>
      <c r="R80" s="278"/>
      <c r="S80" s="278"/>
      <c r="T80" s="241"/>
      <c r="U80" s="241"/>
      <c r="V80" s="241"/>
    </row>
    <row r="81" spans="1:22" x14ac:dyDescent="0.2">
      <c r="A81" s="241"/>
      <c r="B81" s="241"/>
      <c r="C81" s="241"/>
      <c r="D81" s="241"/>
      <c r="E81" s="248"/>
      <c r="F81" s="280"/>
      <c r="G81" s="188"/>
      <c r="H81" s="188"/>
      <c r="I81" s="243"/>
      <c r="J81" s="188"/>
      <c r="K81" s="188"/>
      <c r="L81" s="188"/>
      <c r="N81" s="241"/>
      <c r="O81" s="241"/>
      <c r="P81" s="278"/>
      <c r="Q81" s="278"/>
      <c r="R81" s="278"/>
      <c r="S81" s="278"/>
      <c r="T81" s="241"/>
      <c r="U81" s="241"/>
      <c r="V81" s="241"/>
    </row>
    <row r="82" spans="1:22" x14ac:dyDescent="0.2">
      <c r="A82" s="241"/>
      <c r="B82" s="241"/>
      <c r="C82" s="241"/>
      <c r="D82" s="241"/>
      <c r="E82" s="248"/>
      <c r="F82" s="280"/>
      <c r="G82" s="188"/>
      <c r="H82" s="188"/>
      <c r="I82" s="243"/>
      <c r="J82" s="188"/>
      <c r="K82" s="188"/>
      <c r="L82" s="188"/>
      <c r="N82" s="241"/>
      <c r="O82" s="241"/>
      <c r="P82" s="278"/>
      <c r="Q82" s="278"/>
      <c r="R82" s="278"/>
      <c r="S82" s="278"/>
      <c r="T82" s="241"/>
      <c r="U82" s="241"/>
      <c r="V82" s="241"/>
    </row>
    <row r="83" spans="1:22" x14ac:dyDescent="0.2">
      <c r="A83" s="241"/>
      <c r="B83" s="241"/>
      <c r="C83" s="241"/>
      <c r="D83" s="241"/>
      <c r="E83" s="248"/>
      <c r="F83" s="280"/>
      <c r="G83" s="188"/>
      <c r="H83" s="188"/>
      <c r="I83" s="243"/>
      <c r="J83" s="188"/>
      <c r="K83" s="188"/>
      <c r="L83" s="188"/>
      <c r="N83" s="241"/>
      <c r="O83" s="241"/>
      <c r="P83" s="278"/>
      <c r="Q83" s="278"/>
      <c r="R83" s="278"/>
      <c r="S83" s="278"/>
      <c r="T83" s="241"/>
      <c r="U83" s="241"/>
      <c r="V83" s="241"/>
    </row>
    <row r="84" spans="1:22" x14ac:dyDescent="0.2">
      <c r="A84" s="241"/>
      <c r="B84" s="241"/>
      <c r="C84" s="241"/>
      <c r="D84" s="241"/>
      <c r="E84" s="248"/>
      <c r="F84" s="280"/>
      <c r="G84" s="188"/>
      <c r="H84" s="188"/>
      <c r="I84" s="243"/>
      <c r="J84" s="188"/>
      <c r="K84" s="188"/>
      <c r="L84" s="188"/>
      <c r="N84" s="241"/>
      <c r="O84" s="241"/>
      <c r="P84" s="278"/>
      <c r="Q84" s="278"/>
      <c r="R84" s="278"/>
      <c r="S84" s="278"/>
      <c r="T84" s="241"/>
      <c r="U84" s="241"/>
      <c r="V84" s="241"/>
    </row>
    <row r="85" spans="1:22" x14ac:dyDescent="0.2">
      <c r="A85" s="241"/>
      <c r="B85" s="241"/>
      <c r="C85" s="241"/>
      <c r="D85" s="241"/>
      <c r="E85" s="248"/>
      <c r="F85" s="280"/>
      <c r="G85" s="188"/>
      <c r="H85" s="188"/>
      <c r="I85" s="243"/>
      <c r="J85" s="188"/>
      <c r="K85" s="188"/>
      <c r="L85" s="188"/>
      <c r="N85" s="241"/>
      <c r="O85" s="241"/>
      <c r="P85" s="278"/>
      <c r="Q85" s="278"/>
      <c r="R85" s="278"/>
      <c r="S85" s="278"/>
      <c r="T85" s="241"/>
      <c r="U85" s="241"/>
      <c r="V85" s="241"/>
    </row>
    <row r="86" spans="1:22" x14ac:dyDescent="0.2">
      <c r="A86" s="241"/>
      <c r="B86" s="241"/>
      <c r="C86" s="241"/>
      <c r="D86" s="241"/>
      <c r="E86" s="248"/>
      <c r="F86" s="280"/>
      <c r="G86" s="188"/>
      <c r="H86" s="188"/>
      <c r="I86" s="243"/>
      <c r="J86" s="188"/>
      <c r="K86" s="188"/>
      <c r="L86" s="188"/>
      <c r="N86" s="241"/>
      <c r="O86" s="241"/>
      <c r="P86" s="278"/>
      <c r="Q86" s="278"/>
      <c r="R86" s="278"/>
      <c r="S86" s="278"/>
      <c r="T86" s="241"/>
      <c r="U86" s="241"/>
      <c r="V86" s="241"/>
    </row>
    <row r="87" spans="1:22" x14ac:dyDescent="0.2">
      <c r="A87" s="241"/>
      <c r="B87" s="241"/>
      <c r="C87" s="241"/>
      <c r="D87" s="241"/>
      <c r="E87" s="248"/>
      <c r="F87" s="280"/>
      <c r="G87" s="188"/>
      <c r="H87" s="188"/>
      <c r="I87" s="243"/>
      <c r="J87" s="188"/>
      <c r="K87" s="188"/>
      <c r="L87" s="188"/>
      <c r="N87" s="241"/>
      <c r="O87" s="241"/>
      <c r="P87" s="278"/>
      <c r="Q87" s="278"/>
      <c r="R87" s="278"/>
      <c r="S87" s="278"/>
      <c r="T87" s="241"/>
      <c r="U87" s="241"/>
      <c r="V87" s="241"/>
    </row>
    <row r="88" spans="1:22" x14ac:dyDescent="0.2">
      <c r="A88" s="241"/>
      <c r="B88" s="241"/>
      <c r="C88" s="241"/>
      <c r="D88" s="241"/>
      <c r="E88" s="248"/>
      <c r="F88" s="280"/>
      <c r="G88" s="188"/>
      <c r="H88" s="188"/>
      <c r="I88" s="243"/>
      <c r="J88" s="188"/>
      <c r="K88" s="188"/>
      <c r="L88" s="188"/>
      <c r="N88" s="241"/>
      <c r="O88" s="241"/>
      <c r="P88" s="278"/>
      <c r="Q88" s="278"/>
      <c r="R88" s="278"/>
      <c r="S88" s="278"/>
      <c r="T88" s="241"/>
      <c r="U88" s="241"/>
      <c r="V88" s="241"/>
    </row>
    <row r="89" spans="1:22" x14ac:dyDescent="0.2">
      <c r="A89" s="241"/>
      <c r="B89" s="241"/>
      <c r="C89" s="241"/>
      <c r="D89" s="241"/>
      <c r="E89" s="248"/>
      <c r="F89" s="280"/>
      <c r="G89" s="188"/>
      <c r="H89" s="188"/>
      <c r="I89" s="243"/>
      <c r="J89" s="188"/>
      <c r="K89" s="188"/>
      <c r="L89" s="188"/>
      <c r="N89" s="241"/>
      <c r="O89" s="241"/>
      <c r="P89" s="278"/>
      <c r="Q89" s="278"/>
      <c r="R89" s="278"/>
      <c r="S89" s="278"/>
      <c r="T89" s="241"/>
      <c r="U89" s="241"/>
      <c r="V89" s="241"/>
    </row>
    <row r="90" spans="1:22" x14ac:dyDescent="0.2">
      <c r="A90" s="241"/>
      <c r="B90" s="241"/>
      <c r="C90" s="241"/>
      <c r="D90" s="241"/>
      <c r="E90" s="248"/>
      <c r="F90" s="280"/>
      <c r="G90" s="188"/>
      <c r="H90" s="188"/>
      <c r="I90" s="243"/>
      <c r="J90" s="188"/>
      <c r="K90" s="188"/>
      <c r="L90" s="188"/>
      <c r="N90" s="241"/>
      <c r="O90" s="241"/>
      <c r="P90" s="278"/>
      <c r="Q90" s="278"/>
      <c r="R90" s="278"/>
      <c r="S90" s="278"/>
      <c r="T90" s="241"/>
      <c r="U90" s="241"/>
      <c r="V90" s="241"/>
    </row>
    <row r="91" spans="1:22" s="241" customFormat="1" x14ac:dyDescent="0.2">
      <c r="E91" s="248"/>
      <c r="F91" s="280"/>
      <c r="G91" s="188"/>
      <c r="H91" s="188"/>
      <c r="I91" s="243"/>
      <c r="J91" s="188"/>
      <c r="K91" s="188"/>
      <c r="L91" s="188"/>
      <c r="M91" s="188"/>
      <c r="P91" s="278"/>
      <c r="Q91" s="278"/>
      <c r="R91" s="278"/>
      <c r="S91" s="278"/>
    </row>
    <row r="92" spans="1:22" s="241" customFormat="1" x14ac:dyDescent="0.2">
      <c r="E92" s="248"/>
      <c r="F92" s="280"/>
      <c r="G92" s="188"/>
      <c r="H92" s="188"/>
      <c r="I92" s="243"/>
      <c r="J92" s="188"/>
      <c r="K92" s="188"/>
      <c r="L92" s="188"/>
      <c r="M92" s="188"/>
      <c r="P92" s="278"/>
      <c r="Q92" s="278"/>
      <c r="R92" s="278"/>
      <c r="S92" s="278"/>
    </row>
    <row r="93" spans="1:22" s="241" customFormat="1" x14ac:dyDescent="0.2">
      <c r="E93" s="248"/>
      <c r="F93" s="280"/>
      <c r="G93" s="188"/>
      <c r="H93" s="188"/>
      <c r="I93" s="243"/>
      <c r="J93" s="188"/>
      <c r="K93" s="188"/>
      <c r="L93" s="188"/>
      <c r="M93" s="188"/>
      <c r="P93" s="278"/>
      <c r="Q93" s="278"/>
      <c r="R93" s="278"/>
      <c r="S93" s="278"/>
    </row>
    <row r="94" spans="1:22" s="241" customFormat="1" x14ac:dyDescent="0.2">
      <c r="E94" s="248"/>
      <c r="F94" s="280"/>
      <c r="G94" s="188"/>
      <c r="H94" s="188"/>
      <c r="I94" s="243"/>
      <c r="J94" s="188"/>
      <c r="K94" s="188"/>
      <c r="L94" s="188"/>
      <c r="P94" s="278"/>
      <c r="Q94" s="278"/>
      <c r="R94" s="278"/>
      <c r="S94" s="278"/>
    </row>
    <row r="95" spans="1:22" s="241" customFormat="1" x14ac:dyDescent="0.2">
      <c r="E95" s="248"/>
      <c r="F95" s="280"/>
      <c r="G95" s="188"/>
      <c r="H95" s="188"/>
      <c r="I95" s="243"/>
      <c r="J95" s="188"/>
      <c r="K95" s="188"/>
      <c r="L95" s="188"/>
      <c r="P95" s="278"/>
      <c r="Q95" s="278"/>
      <c r="R95" s="278"/>
      <c r="S95" s="278"/>
    </row>
    <row r="96" spans="1:22" s="241" customFormat="1" x14ac:dyDescent="0.2">
      <c r="E96" s="248"/>
      <c r="F96" s="280"/>
      <c r="G96" s="188"/>
      <c r="H96" s="188"/>
      <c r="I96" s="243"/>
      <c r="J96" s="188"/>
      <c r="K96" s="188"/>
      <c r="L96" s="188"/>
      <c r="P96" s="278"/>
      <c r="Q96" s="278"/>
      <c r="R96" s="278"/>
      <c r="S96" s="278"/>
    </row>
    <row r="97" spans="5:19" s="241" customFormat="1" x14ac:dyDescent="0.2">
      <c r="E97" s="248"/>
      <c r="F97" s="280"/>
      <c r="G97" s="188"/>
      <c r="H97" s="188"/>
      <c r="I97" s="243"/>
      <c r="J97" s="188"/>
      <c r="K97" s="188"/>
      <c r="L97" s="188"/>
      <c r="P97" s="278"/>
      <c r="Q97" s="278"/>
      <c r="R97" s="278"/>
      <c r="S97" s="278"/>
    </row>
    <row r="98" spans="5:19" s="241" customFormat="1" x14ac:dyDescent="0.2">
      <c r="E98" s="248"/>
      <c r="F98" s="280"/>
      <c r="G98" s="188"/>
      <c r="H98" s="188"/>
      <c r="I98" s="243"/>
      <c r="J98" s="188"/>
      <c r="K98" s="188"/>
      <c r="L98" s="188"/>
      <c r="P98" s="278"/>
      <c r="Q98" s="278"/>
      <c r="R98" s="278"/>
      <c r="S98" s="278"/>
    </row>
    <row r="99" spans="5:19" s="241" customFormat="1" x14ac:dyDescent="0.2">
      <c r="E99" s="248"/>
      <c r="F99" s="280"/>
      <c r="G99" s="188"/>
      <c r="H99" s="188"/>
      <c r="I99" s="243"/>
      <c r="J99" s="188"/>
      <c r="K99" s="188"/>
      <c r="L99" s="188"/>
      <c r="P99" s="278"/>
      <c r="Q99" s="278"/>
      <c r="R99" s="278"/>
      <c r="S99" s="278"/>
    </row>
    <row r="100" spans="5:19" s="241" customFormat="1" x14ac:dyDescent="0.2">
      <c r="E100" s="248"/>
      <c r="F100" s="280"/>
      <c r="G100" s="188"/>
      <c r="H100" s="188"/>
      <c r="I100" s="243"/>
      <c r="J100" s="188"/>
      <c r="K100" s="188"/>
      <c r="L100" s="188"/>
      <c r="P100" s="278"/>
      <c r="Q100" s="278"/>
      <c r="R100" s="278"/>
      <c r="S100" s="278"/>
    </row>
    <row r="101" spans="5:19" s="241" customFormat="1" x14ac:dyDescent="0.2">
      <c r="E101" s="248"/>
      <c r="F101" s="280"/>
      <c r="G101" s="188"/>
      <c r="H101" s="188"/>
      <c r="I101" s="243"/>
      <c r="J101" s="188"/>
      <c r="K101" s="188"/>
      <c r="L101" s="188"/>
      <c r="P101" s="278"/>
      <c r="Q101" s="278"/>
      <c r="R101" s="278"/>
      <c r="S101" s="278"/>
    </row>
    <row r="102" spans="5:19" s="241" customFormat="1" x14ac:dyDescent="0.2">
      <c r="E102" s="248"/>
      <c r="F102" s="280"/>
      <c r="G102" s="188"/>
      <c r="H102" s="188"/>
      <c r="I102" s="243"/>
      <c r="J102" s="188"/>
      <c r="K102" s="188"/>
      <c r="L102" s="188"/>
      <c r="P102" s="278"/>
      <c r="Q102" s="278"/>
      <c r="R102" s="278"/>
      <c r="S102" s="278"/>
    </row>
    <row r="103" spans="5:19" s="241" customFormat="1" x14ac:dyDescent="0.2">
      <c r="E103" s="248"/>
      <c r="F103" s="280"/>
      <c r="G103" s="188"/>
      <c r="H103" s="188"/>
      <c r="I103" s="243"/>
      <c r="J103" s="188"/>
      <c r="K103" s="188"/>
      <c r="L103" s="188"/>
      <c r="P103" s="278"/>
      <c r="Q103" s="278"/>
      <c r="R103" s="278"/>
      <c r="S103" s="278"/>
    </row>
    <row r="104" spans="5:19" s="241" customFormat="1" x14ac:dyDescent="0.2">
      <c r="E104" s="248"/>
      <c r="F104" s="280"/>
      <c r="G104" s="188"/>
      <c r="H104" s="188"/>
      <c r="I104" s="243"/>
      <c r="J104" s="188"/>
      <c r="K104" s="188"/>
      <c r="L104" s="188"/>
      <c r="P104" s="278"/>
      <c r="Q104" s="278"/>
      <c r="R104" s="278"/>
      <c r="S104" s="278"/>
    </row>
    <row r="105" spans="5:19" s="241" customFormat="1" x14ac:dyDescent="0.2">
      <c r="E105" s="248"/>
      <c r="F105" s="280"/>
      <c r="G105" s="188"/>
      <c r="H105" s="188"/>
      <c r="I105" s="243"/>
      <c r="J105" s="188"/>
      <c r="K105" s="188"/>
      <c r="L105" s="188"/>
      <c r="P105" s="278"/>
      <c r="Q105" s="278"/>
      <c r="R105" s="278"/>
      <c r="S105" s="278"/>
    </row>
    <row r="106" spans="5:19" s="241" customFormat="1" x14ac:dyDescent="0.2">
      <c r="E106" s="248"/>
      <c r="F106" s="280"/>
      <c r="G106" s="188"/>
      <c r="H106" s="188"/>
      <c r="I106" s="243"/>
      <c r="J106" s="188"/>
      <c r="K106" s="188"/>
      <c r="L106" s="188"/>
      <c r="P106" s="278"/>
      <c r="Q106" s="278"/>
      <c r="R106" s="278"/>
      <c r="S106" s="278"/>
    </row>
    <row r="107" spans="5:19" s="241" customFormat="1" x14ac:dyDescent="0.2">
      <c r="E107" s="248"/>
      <c r="F107" s="280"/>
      <c r="G107" s="188"/>
      <c r="H107" s="188"/>
      <c r="I107" s="243"/>
      <c r="J107" s="188"/>
      <c r="K107" s="188"/>
      <c r="L107" s="188"/>
      <c r="P107" s="278"/>
      <c r="Q107" s="278"/>
      <c r="R107" s="278"/>
      <c r="S107" s="278"/>
    </row>
    <row r="108" spans="5:19" s="241" customFormat="1" x14ac:dyDescent="0.2">
      <c r="E108" s="248"/>
      <c r="F108" s="280"/>
      <c r="G108" s="188"/>
      <c r="H108" s="188"/>
      <c r="I108" s="243"/>
      <c r="J108" s="188"/>
      <c r="K108" s="188"/>
      <c r="L108" s="188"/>
      <c r="P108" s="278"/>
      <c r="Q108" s="278"/>
      <c r="R108" s="278"/>
      <c r="S108" s="278"/>
    </row>
    <row r="109" spans="5:19" s="241" customFormat="1" x14ac:dyDescent="0.2">
      <c r="E109" s="248"/>
      <c r="F109" s="280"/>
      <c r="G109" s="188"/>
      <c r="H109" s="188"/>
      <c r="I109" s="243"/>
      <c r="J109" s="188"/>
      <c r="K109" s="188"/>
      <c r="L109" s="188"/>
      <c r="P109" s="278"/>
      <c r="Q109" s="278"/>
      <c r="R109" s="278"/>
      <c r="S109" s="278"/>
    </row>
    <row r="110" spans="5:19" s="241" customFormat="1" x14ac:dyDescent="0.2">
      <c r="E110" s="248"/>
      <c r="F110" s="280"/>
      <c r="G110" s="188"/>
      <c r="H110" s="188"/>
      <c r="I110" s="243"/>
      <c r="J110" s="188"/>
      <c r="K110" s="188"/>
      <c r="L110" s="188"/>
      <c r="P110" s="278"/>
      <c r="Q110" s="278"/>
      <c r="R110" s="278"/>
      <c r="S110" s="278"/>
    </row>
    <row r="111" spans="5:19" s="241" customFormat="1" x14ac:dyDescent="0.2">
      <c r="E111" s="248"/>
      <c r="F111" s="280"/>
      <c r="G111" s="188"/>
      <c r="H111" s="188"/>
      <c r="I111" s="243"/>
      <c r="J111" s="188"/>
      <c r="K111" s="188"/>
      <c r="L111" s="188"/>
      <c r="P111" s="278"/>
      <c r="Q111" s="278"/>
      <c r="R111" s="278"/>
      <c r="S111" s="278"/>
    </row>
    <row r="112" spans="5:19" s="241" customFormat="1" x14ac:dyDescent="0.2">
      <c r="E112" s="248"/>
      <c r="F112" s="280"/>
      <c r="G112" s="188"/>
      <c r="H112" s="188"/>
      <c r="I112" s="243"/>
      <c r="J112" s="188"/>
      <c r="K112" s="188"/>
      <c r="L112" s="188"/>
      <c r="P112" s="278"/>
      <c r="Q112" s="278"/>
      <c r="R112" s="278"/>
      <c r="S112" s="278"/>
    </row>
    <row r="113" spans="5:19" s="241" customFormat="1" x14ac:dyDescent="0.2">
      <c r="E113" s="248"/>
      <c r="F113" s="280"/>
      <c r="G113" s="188"/>
      <c r="H113" s="188"/>
      <c r="I113" s="243"/>
      <c r="J113" s="188"/>
      <c r="K113" s="188"/>
      <c r="L113" s="188"/>
      <c r="P113" s="278"/>
      <c r="Q113" s="278"/>
      <c r="R113" s="278"/>
      <c r="S113" s="278"/>
    </row>
    <row r="114" spans="5:19" s="241" customFormat="1" x14ac:dyDescent="0.2">
      <c r="E114" s="248"/>
      <c r="F114" s="280"/>
      <c r="G114" s="188"/>
      <c r="H114" s="188"/>
      <c r="I114" s="243"/>
      <c r="J114" s="188"/>
      <c r="K114" s="188"/>
      <c r="L114" s="188"/>
      <c r="P114" s="278"/>
      <c r="Q114" s="278"/>
      <c r="R114" s="278"/>
      <c r="S114" s="278"/>
    </row>
    <row r="115" spans="5:19" s="241" customFormat="1" x14ac:dyDescent="0.2">
      <c r="E115" s="248"/>
      <c r="F115" s="280"/>
      <c r="G115" s="188"/>
      <c r="H115" s="188"/>
      <c r="I115" s="243"/>
      <c r="J115" s="188"/>
      <c r="K115" s="188"/>
      <c r="L115" s="188"/>
      <c r="P115" s="278"/>
      <c r="Q115" s="278"/>
      <c r="R115" s="278"/>
      <c r="S115" s="278"/>
    </row>
    <row r="116" spans="5:19" s="241" customFormat="1" x14ac:dyDescent="0.2">
      <c r="E116" s="248"/>
      <c r="F116" s="280"/>
      <c r="G116" s="188"/>
      <c r="H116" s="188"/>
      <c r="I116" s="243"/>
      <c r="J116" s="188"/>
      <c r="K116" s="188"/>
      <c r="L116" s="188"/>
      <c r="P116" s="278"/>
      <c r="Q116" s="278"/>
      <c r="R116" s="278"/>
      <c r="S116" s="278"/>
    </row>
    <row r="117" spans="5:19" s="241" customFormat="1" x14ac:dyDescent="0.2">
      <c r="E117" s="248"/>
      <c r="F117" s="280"/>
      <c r="G117" s="188"/>
      <c r="H117" s="188"/>
      <c r="I117" s="243"/>
      <c r="J117" s="188"/>
      <c r="K117" s="188"/>
      <c r="L117" s="188"/>
      <c r="P117" s="278"/>
      <c r="Q117" s="278"/>
      <c r="R117" s="278"/>
      <c r="S117" s="278"/>
    </row>
    <row r="118" spans="5:19" s="241" customFormat="1" x14ac:dyDescent="0.2">
      <c r="E118" s="248"/>
      <c r="F118" s="280"/>
      <c r="G118" s="188"/>
      <c r="H118" s="188"/>
      <c r="I118" s="243"/>
      <c r="J118" s="188"/>
      <c r="K118" s="188"/>
      <c r="L118" s="188"/>
      <c r="P118" s="278"/>
      <c r="Q118" s="278"/>
      <c r="R118" s="278"/>
      <c r="S118" s="278"/>
    </row>
    <row r="119" spans="5:19" s="241" customFormat="1" x14ac:dyDescent="0.2">
      <c r="E119" s="248"/>
      <c r="F119" s="280"/>
      <c r="G119" s="188"/>
      <c r="H119" s="188"/>
      <c r="I119" s="243"/>
      <c r="J119" s="188"/>
      <c r="K119" s="188"/>
      <c r="L119" s="188"/>
      <c r="P119" s="278"/>
      <c r="Q119" s="278"/>
      <c r="R119" s="278"/>
      <c r="S119" s="278"/>
    </row>
    <row r="120" spans="5:19" s="241" customFormat="1" x14ac:dyDescent="0.2">
      <c r="E120" s="248"/>
      <c r="F120" s="280"/>
      <c r="G120" s="188"/>
      <c r="H120" s="188"/>
      <c r="I120" s="243"/>
      <c r="J120" s="188"/>
      <c r="K120" s="188"/>
      <c r="L120" s="188"/>
      <c r="P120" s="278"/>
      <c r="Q120" s="278"/>
      <c r="R120" s="278"/>
      <c r="S120" s="278"/>
    </row>
    <row r="121" spans="5:19" s="241" customFormat="1" x14ac:dyDescent="0.2">
      <c r="E121" s="248"/>
      <c r="F121" s="280"/>
      <c r="G121" s="188"/>
      <c r="H121" s="188"/>
      <c r="I121" s="243"/>
      <c r="J121" s="188"/>
      <c r="K121" s="188"/>
      <c r="L121" s="188"/>
      <c r="P121" s="278"/>
      <c r="Q121" s="278"/>
      <c r="R121" s="278"/>
      <c r="S121" s="278"/>
    </row>
    <row r="122" spans="5:19" s="241" customFormat="1" x14ac:dyDescent="0.2">
      <c r="E122" s="248"/>
      <c r="F122" s="280"/>
      <c r="G122" s="188"/>
      <c r="H122" s="188"/>
      <c r="I122" s="243"/>
      <c r="J122" s="188"/>
      <c r="K122" s="188"/>
      <c r="L122" s="188"/>
      <c r="P122" s="278"/>
      <c r="Q122" s="278"/>
      <c r="R122" s="278"/>
      <c r="S122" s="278"/>
    </row>
    <row r="123" spans="5:19" s="241" customFormat="1" x14ac:dyDescent="0.2">
      <c r="E123" s="248"/>
      <c r="F123" s="280"/>
      <c r="G123" s="188"/>
      <c r="H123" s="188"/>
      <c r="I123" s="243"/>
      <c r="J123" s="188"/>
      <c r="K123" s="188"/>
      <c r="L123" s="188"/>
      <c r="P123" s="278"/>
      <c r="Q123" s="278"/>
      <c r="R123" s="278"/>
      <c r="S123" s="278"/>
    </row>
    <row r="124" spans="5:19" s="241" customFormat="1" x14ac:dyDescent="0.2">
      <c r="E124" s="248"/>
      <c r="F124" s="280"/>
      <c r="G124" s="188"/>
      <c r="H124" s="188"/>
      <c r="I124" s="243"/>
      <c r="J124" s="188"/>
      <c r="K124" s="188"/>
      <c r="L124" s="188"/>
      <c r="P124" s="278"/>
      <c r="Q124" s="278"/>
      <c r="R124" s="278"/>
      <c r="S124" s="278"/>
    </row>
    <row r="125" spans="5:19" s="241" customFormat="1" x14ac:dyDescent="0.2">
      <c r="E125" s="248"/>
      <c r="F125" s="280"/>
      <c r="G125" s="188"/>
      <c r="H125" s="188"/>
      <c r="I125" s="243"/>
      <c r="J125" s="188"/>
      <c r="K125" s="188"/>
      <c r="L125" s="188"/>
      <c r="P125" s="278"/>
      <c r="Q125" s="278"/>
      <c r="R125" s="278"/>
      <c r="S125" s="278"/>
    </row>
    <row r="126" spans="5:19" s="241" customFormat="1" x14ac:dyDescent="0.2">
      <c r="E126" s="248"/>
      <c r="F126" s="280"/>
      <c r="G126" s="188"/>
      <c r="H126" s="188"/>
      <c r="I126" s="243"/>
      <c r="J126" s="188"/>
      <c r="K126" s="188"/>
      <c r="L126" s="188"/>
      <c r="P126" s="278"/>
      <c r="Q126" s="278"/>
      <c r="R126" s="278"/>
      <c r="S126" s="278"/>
    </row>
    <row r="127" spans="5:19" s="241" customFormat="1" x14ac:dyDescent="0.2">
      <c r="E127" s="248"/>
      <c r="F127" s="280"/>
      <c r="G127" s="188"/>
      <c r="H127" s="188"/>
      <c r="I127" s="243"/>
      <c r="J127" s="188"/>
      <c r="K127" s="188"/>
      <c r="L127" s="188"/>
      <c r="P127" s="278"/>
      <c r="Q127" s="278"/>
      <c r="R127" s="278"/>
      <c r="S127" s="278"/>
    </row>
    <row r="128" spans="5:19" s="241" customFormat="1" x14ac:dyDescent="0.2">
      <c r="E128" s="248"/>
      <c r="F128" s="280"/>
      <c r="G128" s="188"/>
      <c r="H128" s="188"/>
      <c r="I128" s="243"/>
      <c r="J128" s="188"/>
      <c r="K128" s="188"/>
      <c r="L128" s="188"/>
      <c r="P128" s="278"/>
      <c r="Q128" s="278"/>
      <c r="R128" s="278"/>
      <c r="S128" s="278"/>
    </row>
    <row r="129" spans="1:22" s="241" customFormat="1" x14ac:dyDescent="0.2">
      <c r="E129" s="248"/>
      <c r="F129" s="280"/>
      <c r="G129" s="188"/>
      <c r="H129" s="188"/>
      <c r="I129" s="243"/>
      <c r="J129" s="188"/>
      <c r="K129" s="188"/>
      <c r="L129" s="188"/>
      <c r="P129" s="278"/>
      <c r="Q129" s="278"/>
      <c r="R129" s="278"/>
      <c r="S129" s="278"/>
    </row>
    <row r="130" spans="1:22" s="241" customFormat="1" x14ac:dyDescent="0.2">
      <c r="E130" s="248"/>
      <c r="F130" s="280"/>
      <c r="G130" s="188"/>
      <c r="H130" s="188"/>
      <c r="I130" s="243"/>
      <c r="J130" s="188"/>
      <c r="K130" s="188"/>
      <c r="L130" s="188"/>
      <c r="P130" s="278"/>
      <c r="Q130" s="278"/>
      <c r="R130" s="278"/>
      <c r="S130" s="278"/>
    </row>
    <row r="131" spans="1:22" s="241" customFormat="1" x14ac:dyDescent="0.2">
      <c r="E131" s="248"/>
      <c r="F131" s="280"/>
      <c r="G131" s="188"/>
      <c r="H131" s="188"/>
      <c r="I131" s="243"/>
      <c r="J131" s="188"/>
      <c r="K131" s="188"/>
      <c r="L131" s="188"/>
      <c r="P131" s="278"/>
      <c r="Q131" s="278"/>
      <c r="R131" s="244"/>
      <c r="S131" s="244"/>
      <c r="T131" s="188"/>
      <c r="U131" s="188"/>
      <c r="V131" s="188"/>
    </row>
    <row r="132" spans="1:22" s="241" customFormat="1" x14ac:dyDescent="0.2">
      <c r="E132" s="248"/>
      <c r="F132" s="280"/>
      <c r="G132" s="188"/>
      <c r="H132" s="188"/>
      <c r="I132" s="243"/>
      <c r="J132" s="188"/>
      <c r="K132" s="188"/>
      <c r="L132" s="188"/>
      <c r="P132" s="278"/>
      <c r="Q132" s="278"/>
      <c r="R132" s="244"/>
      <c r="S132" s="244"/>
      <c r="T132" s="188"/>
      <c r="U132" s="188"/>
      <c r="V132" s="188"/>
    </row>
    <row r="133" spans="1:22" s="241" customFormat="1" x14ac:dyDescent="0.2">
      <c r="E133" s="248"/>
      <c r="F133" s="280"/>
      <c r="G133" s="188"/>
      <c r="H133" s="188"/>
      <c r="I133" s="243"/>
      <c r="J133" s="188"/>
      <c r="K133" s="188"/>
      <c r="L133" s="188"/>
      <c r="P133" s="278"/>
      <c r="Q133" s="278"/>
      <c r="R133" s="244"/>
      <c r="S133" s="244"/>
      <c r="T133" s="188"/>
      <c r="U133" s="188"/>
      <c r="V133" s="188"/>
    </row>
    <row r="134" spans="1:22" s="241" customFormat="1" x14ac:dyDescent="0.2">
      <c r="E134" s="248"/>
      <c r="F134" s="280"/>
      <c r="G134" s="188"/>
      <c r="H134" s="188"/>
      <c r="I134" s="243"/>
      <c r="J134" s="188"/>
      <c r="K134" s="188"/>
      <c r="L134" s="188"/>
      <c r="P134" s="278"/>
      <c r="Q134" s="278"/>
      <c r="R134" s="244"/>
      <c r="S134" s="244"/>
      <c r="T134" s="188"/>
      <c r="U134" s="188"/>
      <c r="V134" s="188"/>
    </row>
    <row r="135" spans="1:22" s="241" customFormat="1" x14ac:dyDescent="0.2">
      <c r="E135" s="248"/>
      <c r="F135" s="280"/>
      <c r="G135" s="188"/>
      <c r="H135" s="188"/>
      <c r="I135" s="243"/>
      <c r="J135" s="188"/>
      <c r="K135" s="188"/>
      <c r="L135" s="188"/>
      <c r="P135" s="278"/>
      <c r="Q135" s="278"/>
      <c r="R135" s="244"/>
      <c r="S135" s="244"/>
      <c r="T135" s="188"/>
      <c r="U135" s="188"/>
      <c r="V135" s="188"/>
    </row>
    <row r="136" spans="1:22" s="241" customFormat="1" x14ac:dyDescent="0.2">
      <c r="E136" s="248"/>
      <c r="F136" s="280"/>
      <c r="G136" s="188"/>
      <c r="H136" s="188"/>
      <c r="I136" s="243"/>
      <c r="J136" s="188"/>
      <c r="K136" s="188"/>
      <c r="L136" s="188"/>
      <c r="N136" s="188"/>
      <c r="O136" s="243"/>
      <c r="P136" s="289"/>
      <c r="Q136" s="244"/>
      <c r="R136" s="244"/>
      <c r="S136" s="244"/>
      <c r="T136" s="188"/>
      <c r="U136" s="188"/>
      <c r="V136" s="188"/>
    </row>
    <row r="137" spans="1:22" s="241" customFormat="1" x14ac:dyDescent="0.2">
      <c r="E137" s="248"/>
      <c r="F137" s="280"/>
      <c r="G137" s="188"/>
      <c r="H137" s="188"/>
      <c r="I137" s="243"/>
      <c r="J137" s="188"/>
      <c r="K137" s="188"/>
      <c r="L137" s="188"/>
      <c r="N137" s="188"/>
      <c r="O137" s="243"/>
      <c r="P137" s="289"/>
      <c r="Q137" s="244"/>
      <c r="R137" s="244"/>
      <c r="S137" s="244"/>
      <c r="T137" s="188"/>
      <c r="U137" s="188"/>
      <c r="V137" s="188"/>
    </row>
    <row r="138" spans="1:22" s="241" customFormat="1" x14ac:dyDescent="0.2">
      <c r="E138" s="248"/>
      <c r="F138" s="280"/>
      <c r="G138" s="188"/>
      <c r="H138" s="188"/>
      <c r="I138" s="243"/>
      <c r="J138" s="188"/>
      <c r="K138" s="188"/>
      <c r="L138" s="188"/>
      <c r="N138" s="188"/>
      <c r="O138" s="243"/>
      <c r="P138" s="289"/>
      <c r="Q138" s="244"/>
      <c r="R138" s="244"/>
      <c r="S138" s="244"/>
      <c r="T138" s="188"/>
      <c r="U138" s="188"/>
      <c r="V138" s="188"/>
    </row>
    <row r="139" spans="1:22" s="241" customFormat="1" x14ac:dyDescent="0.2">
      <c r="E139" s="248"/>
      <c r="F139" s="280"/>
      <c r="G139" s="188"/>
      <c r="H139" s="188"/>
      <c r="I139" s="243"/>
      <c r="J139" s="188"/>
      <c r="K139" s="188"/>
      <c r="L139" s="188"/>
      <c r="N139" s="188"/>
      <c r="O139" s="243"/>
      <c r="P139" s="289"/>
      <c r="Q139" s="244"/>
      <c r="R139" s="244"/>
      <c r="S139" s="244"/>
      <c r="T139" s="188"/>
      <c r="U139" s="188"/>
      <c r="V139" s="188"/>
    </row>
    <row r="140" spans="1:22" s="241" customFormat="1" x14ac:dyDescent="0.2">
      <c r="A140" s="188"/>
      <c r="B140" s="188"/>
      <c r="C140" s="290"/>
      <c r="D140" s="290"/>
      <c r="E140" s="290"/>
      <c r="F140" s="290"/>
      <c r="H140" s="278"/>
      <c r="J140" s="188"/>
      <c r="K140" s="188"/>
      <c r="L140" s="188"/>
      <c r="N140" s="188"/>
      <c r="O140" s="243"/>
      <c r="P140" s="289"/>
      <c r="Q140" s="244"/>
      <c r="R140" s="244"/>
      <c r="S140" s="244"/>
      <c r="T140" s="188"/>
      <c r="U140" s="188"/>
      <c r="V140" s="188"/>
    </row>
    <row r="141" spans="1:22" s="241" customFormat="1" x14ac:dyDescent="0.2">
      <c r="A141" s="188"/>
      <c r="B141" s="188"/>
      <c r="C141" s="290"/>
      <c r="D141" s="290"/>
      <c r="E141" s="290"/>
      <c r="F141" s="290"/>
      <c r="H141" s="278"/>
      <c r="J141" s="188"/>
      <c r="K141" s="188"/>
      <c r="L141" s="188"/>
      <c r="N141" s="188"/>
      <c r="O141" s="243"/>
      <c r="P141" s="289"/>
      <c r="Q141" s="244"/>
      <c r="R141" s="244"/>
      <c r="S141" s="244"/>
      <c r="T141" s="188"/>
      <c r="U141" s="188"/>
      <c r="V141" s="188"/>
    </row>
    <row r="142" spans="1:22" s="241" customFormat="1" x14ac:dyDescent="0.2">
      <c r="A142" s="188"/>
      <c r="B142" s="188"/>
      <c r="C142" s="290"/>
      <c r="D142" s="290"/>
      <c r="E142" s="290"/>
      <c r="F142" s="290"/>
      <c r="H142" s="278"/>
      <c r="J142" s="188"/>
      <c r="K142" s="188"/>
      <c r="L142" s="188"/>
      <c r="N142" s="188"/>
      <c r="O142" s="243"/>
      <c r="P142" s="289"/>
      <c r="Q142" s="244"/>
      <c r="R142" s="244"/>
      <c r="S142" s="244"/>
      <c r="T142" s="188"/>
      <c r="U142" s="188"/>
      <c r="V142" s="188"/>
    </row>
    <row r="143" spans="1:22" s="241" customFormat="1" x14ac:dyDescent="0.2">
      <c r="A143" s="188"/>
      <c r="B143" s="188"/>
      <c r="C143" s="290"/>
      <c r="D143" s="290"/>
      <c r="E143" s="290"/>
      <c r="F143" s="290"/>
      <c r="H143" s="278"/>
      <c r="J143" s="188"/>
      <c r="K143" s="188"/>
      <c r="L143" s="188"/>
      <c r="N143" s="188"/>
      <c r="O143" s="243"/>
      <c r="P143" s="289"/>
      <c r="Q143" s="244"/>
      <c r="R143" s="244"/>
      <c r="S143" s="244"/>
      <c r="T143" s="188"/>
      <c r="U143" s="188"/>
      <c r="V143" s="188"/>
    </row>
    <row r="144" spans="1:22" s="241" customFormat="1" x14ac:dyDescent="0.2">
      <c r="A144" s="188"/>
      <c r="B144" s="188"/>
      <c r="C144" s="290"/>
      <c r="D144" s="290"/>
      <c r="E144" s="290"/>
      <c r="F144" s="290"/>
      <c r="H144" s="278"/>
      <c r="J144" s="188"/>
      <c r="K144" s="188"/>
      <c r="L144" s="188"/>
      <c r="N144" s="188"/>
      <c r="O144" s="243"/>
      <c r="P144" s="289"/>
      <c r="Q144" s="244"/>
      <c r="R144" s="244"/>
      <c r="S144" s="244"/>
      <c r="T144" s="188"/>
      <c r="U144" s="188"/>
      <c r="V144" s="188"/>
    </row>
    <row r="145" spans="1:22" s="241" customFormat="1" x14ac:dyDescent="0.2">
      <c r="A145" s="188"/>
      <c r="B145" s="188"/>
      <c r="C145" s="290"/>
      <c r="D145" s="290"/>
      <c r="E145" s="290"/>
      <c r="F145" s="290"/>
      <c r="H145" s="278"/>
      <c r="J145" s="188"/>
      <c r="K145" s="188"/>
      <c r="L145" s="188"/>
      <c r="N145" s="188"/>
      <c r="O145" s="243"/>
      <c r="P145" s="289"/>
      <c r="Q145" s="244"/>
      <c r="R145" s="244"/>
      <c r="S145" s="244"/>
      <c r="T145" s="188"/>
      <c r="U145" s="188"/>
      <c r="V145" s="188"/>
    </row>
    <row r="146" spans="1:22" s="241" customFormat="1" x14ac:dyDescent="0.2">
      <c r="A146" s="188"/>
      <c r="B146" s="188"/>
      <c r="C146" s="290"/>
      <c r="D146" s="290"/>
      <c r="E146" s="290"/>
      <c r="F146" s="290"/>
      <c r="H146" s="278"/>
      <c r="K146" s="188"/>
      <c r="L146" s="188"/>
      <c r="N146" s="188"/>
      <c r="O146" s="243"/>
      <c r="P146" s="289"/>
      <c r="Q146" s="244"/>
      <c r="R146" s="244"/>
      <c r="S146" s="244"/>
      <c r="T146" s="188"/>
      <c r="U146" s="188"/>
      <c r="V146" s="188"/>
    </row>
    <row r="147" spans="1:22" s="241" customFormat="1" x14ac:dyDescent="0.2">
      <c r="A147" s="188"/>
      <c r="B147" s="188"/>
      <c r="C147" s="290"/>
      <c r="D147" s="290"/>
      <c r="E147" s="290"/>
      <c r="F147" s="290"/>
      <c r="H147" s="278"/>
      <c r="K147" s="188"/>
      <c r="L147" s="188"/>
      <c r="N147" s="188"/>
      <c r="O147" s="243"/>
      <c r="P147" s="289"/>
      <c r="Q147" s="244"/>
      <c r="R147" s="244"/>
      <c r="S147" s="244"/>
      <c r="T147" s="188"/>
      <c r="U147" s="188"/>
      <c r="V147" s="188"/>
    </row>
    <row r="148" spans="1:22" x14ac:dyDescent="0.2">
      <c r="K148" s="188"/>
      <c r="L148" s="188"/>
      <c r="M148" s="241"/>
    </row>
    <row r="149" spans="1:22" x14ac:dyDescent="0.2">
      <c r="L149" s="188"/>
      <c r="M149" s="241"/>
    </row>
    <row r="150" spans="1:22" x14ac:dyDescent="0.2">
      <c r="L150" s="188"/>
      <c r="M150" s="241"/>
    </row>
    <row r="151" spans="1:22" x14ac:dyDescent="0.2">
      <c r="L151" s="188"/>
    </row>
    <row r="152" spans="1:22" x14ac:dyDescent="0.2">
      <c r="L152" s="188"/>
    </row>
    <row r="153" spans="1:22" x14ac:dyDescent="0.2">
      <c r="L153" s="188"/>
    </row>
  </sheetData>
  <conditionalFormatting sqref="P6:P11 Z6:Z11">
    <cfRule type="aboveAverage" dxfId="23" priority="3" aboveAverage="0" stdDev="1"/>
    <cfRule type="aboveAverage" dxfId="22" priority="4" stdDev="1"/>
  </conditionalFormatting>
  <conditionalFormatting sqref="P45:P58 Z45:Z58 B21:B44">
    <cfRule type="aboveAverage" dxfId="21" priority="5" aboveAverage="0" stdDev="1"/>
    <cfRule type="aboveAverage" dxfId="20" priority="6" stdDev="1"/>
  </conditionalFormatting>
  <conditionalFormatting sqref="C36">
    <cfRule type="aboveAverage" dxfId="19" priority="1" aboveAverage="0" stdDev="1"/>
    <cfRule type="aboveAverage" dxfId="18" priority="2" stdDev="1"/>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68BD0-39FD-46F2-8F5C-C6EE537AC0A1}">
  <dimension ref="A1:T4"/>
  <sheetViews>
    <sheetView workbookViewId="0">
      <selection activeCell="H1" sqref="H1"/>
    </sheetView>
  </sheetViews>
  <sheetFormatPr defaultRowHeight="15" x14ac:dyDescent="0.25"/>
  <cols>
    <col min="1" max="1" width="19.5703125" customWidth="1"/>
    <col min="2" max="2" width="9.7109375" bestFit="1" customWidth="1"/>
  </cols>
  <sheetData>
    <row r="1" spans="1:20" x14ac:dyDescent="0.25">
      <c r="A1" t="s">
        <v>163</v>
      </c>
      <c r="H1" s="215" t="s">
        <v>83</v>
      </c>
      <c r="I1" s="216"/>
      <c r="J1" t="s">
        <v>173</v>
      </c>
      <c r="K1" t="s">
        <v>174</v>
      </c>
      <c r="L1" t="s">
        <v>175</v>
      </c>
      <c r="M1" s="215" t="s">
        <v>83</v>
      </c>
      <c r="N1" s="216"/>
      <c r="O1" t="s">
        <v>176</v>
      </c>
      <c r="P1" t="s">
        <v>177</v>
      </c>
      <c r="Q1" t="s">
        <v>178</v>
      </c>
      <c r="R1" t="s">
        <v>179</v>
      </c>
      <c r="S1" t="s">
        <v>180</v>
      </c>
      <c r="T1" t="s">
        <v>181</v>
      </c>
    </row>
    <row r="2" spans="1:20" x14ac:dyDescent="0.25">
      <c r="H2" s="225" t="s">
        <v>86</v>
      </c>
      <c r="I2" s="226"/>
      <c r="M2" s="225" t="s">
        <v>86</v>
      </c>
      <c r="N2" s="226"/>
    </row>
    <row r="3" spans="1:20" x14ac:dyDescent="0.25">
      <c r="A3" t="s">
        <v>164</v>
      </c>
      <c r="B3" s="432">
        <v>41872</v>
      </c>
      <c r="H3" s="229" t="s">
        <v>89</v>
      </c>
      <c r="I3">
        <v>2.2400000000000002</v>
      </c>
      <c r="M3" s="229" t="s">
        <v>89</v>
      </c>
      <c r="N3">
        <v>2.2400000000000002</v>
      </c>
    </row>
    <row r="4" spans="1:20" x14ac:dyDescent="0.25">
      <c r="A4" t="s">
        <v>165</v>
      </c>
      <c r="B4">
        <v>2.2400000000000002</v>
      </c>
      <c r="H4" s="229" t="s">
        <v>91</v>
      </c>
      <c r="I4" s="226"/>
      <c r="M4" s="229" t="s">
        <v>91</v>
      </c>
      <c r="N4" s="226"/>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D4B98-5A43-49B2-BB82-8E9E07B3B205}">
  <dimension ref="A1:Z152"/>
  <sheetViews>
    <sheetView workbookViewId="0">
      <selection activeCell="T40" sqref="T40"/>
    </sheetView>
  </sheetViews>
  <sheetFormatPr defaultColWidth="7.85546875" defaultRowHeight="11.25" x14ac:dyDescent="0.2"/>
  <cols>
    <col min="1" max="1" width="22.7109375" style="188" customWidth="1"/>
    <col min="2" max="2" width="22" style="188" customWidth="1"/>
    <col min="3" max="3" width="15.42578125" style="290" customWidth="1"/>
    <col min="4" max="4" width="14.28515625" style="290" customWidth="1"/>
    <col min="5" max="5" width="11.85546875" style="290" customWidth="1"/>
    <col min="6" max="6" width="18.28515625" style="290" customWidth="1"/>
    <col min="7" max="7" width="13.7109375" style="241" customWidth="1"/>
    <col min="8" max="8" width="18.7109375" style="278" customWidth="1"/>
    <col min="9" max="9" width="10.7109375" style="241" customWidth="1"/>
    <col min="10" max="10" width="8.5703125" style="241" customWidth="1"/>
    <col min="11" max="11" width="13.5703125" style="248" customWidth="1"/>
    <col min="12" max="12" width="7" style="280" customWidth="1"/>
    <col min="13" max="13" width="10.28515625" style="188" customWidth="1"/>
    <col min="14" max="14" width="5.7109375" style="188" bestFit="1" customWidth="1"/>
    <col min="15" max="15" width="16.5703125" style="243" customWidth="1"/>
    <col min="16" max="16" width="10.28515625" style="289" customWidth="1"/>
    <col min="17" max="17" width="14" style="244" bestFit="1" customWidth="1"/>
    <col min="18" max="18" width="6" style="244" bestFit="1" customWidth="1"/>
    <col min="19" max="19" width="8.7109375" style="244" bestFit="1" customWidth="1"/>
    <col min="20" max="21" width="17.28515625" style="188" bestFit="1" customWidth="1"/>
    <col min="22" max="22" width="9.28515625" style="188" bestFit="1" customWidth="1"/>
    <col min="23" max="27" width="5.28515625" style="188" customWidth="1"/>
    <col min="28" max="28" width="17" style="188" customWidth="1"/>
    <col min="29" max="16384" width="7.85546875" style="188"/>
  </cols>
  <sheetData>
    <row r="1" spans="1:24" s="218" customFormat="1" ht="12.75" x14ac:dyDescent="0.2">
      <c r="A1" s="210" t="s">
        <v>81</v>
      </c>
      <c r="B1" s="211" t="s">
        <v>82</v>
      </c>
      <c r="C1" s="212"/>
      <c r="D1" s="211"/>
      <c r="E1" s="213"/>
      <c r="F1" s="213"/>
      <c r="G1" s="214"/>
      <c r="H1" s="215" t="s">
        <v>83</v>
      </c>
      <c r="I1" s="216">
        <f>MAX(A11:A13)*2.54/100</f>
        <v>2.8448000000000002</v>
      </c>
      <c r="J1" s="217" t="s">
        <v>84</v>
      </c>
      <c r="K1" s="211"/>
      <c r="L1" s="211"/>
      <c r="N1" s="219"/>
      <c r="P1" s="220"/>
      <c r="Q1" s="220"/>
      <c r="R1" s="220"/>
      <c r="S1" s="220"/>
    </row>
    <row r="2" spans="1:24" s="218" customFormat="1" ht="12.75" x14ac:dyDescent="0.2">
      <c r="A2" s="221" t="s">
        <v>85</v>
      </c>
      <c r="B2" s="211" t="s">
        <v>115</v>
      </c>
      <c r="C2" s="222"/>
      <c r="D2" s="211"/>
      <c r="E2" s="223"/>
      <c r="F2" s="223"/>
      <c r="G2" s="224"/>
      <c r="H2" s="225" t="s">
        <v>86</v>
      </c>
      <c r="I2" s="226">
        <f>I11/100</f>
        <v>3.08</v>
      </c>
      <c r="J2" s="227" t="s">
        <v>87</v>
      </c>
      <c r="K2" s="211"/>
      <c r="L2" s="211"/>
      <c r="N2" s="228"/>
      <c r="P2" s="220"/>
      <c r="Q2" s="220"/>
      <c r="R2" s="220"/>
      <c r="S2" s="220"/>
    </row>
    <row r="3" spans="1:24" s="231" customFormat="1" ht="11.25" customHeight="1" x14ac:dyDescent="0.2">
      <c r="A3" s="229" t="s">
        <v>88</v>
      </c>
      <c r="B3" s="230">
        <v>41797</v>
      </c>
      <c r="C3" s="222"/>
      <c r="D3" s="223"/>
      <c r="E3" s="223"/>
      <c r="F3" s="223"/>
      <c r="G3" s="224"/>
      <c r="H3" s="229" t="s">
        <v>89</v>
      </c>
      <c r="I3" s="226">
        <f>AVERAGE(I11:I20)/100</f>
        <v>3.1019999999999999</v>
      </c>
      <c r="J3" s="227"/>
      <c r="K3" s="211"/>
      <c r="L3" s="211"/>
      <c r="N3" s="232"/>
      <c r="P3" s="233"/>
      <c r="Q3" s="233"/>
      <c r="R3" s="233"/>
      <c r="S3" s="233"/>
    </row>
    <row r="4" spans="1:24" s="218" customFormat="1" ht="12.75" x14ac:dyDescent="0.2">
      <c r="A4" s="229" t="s">
        <v>90</v>
      </c>
      <c r="B4" s="234" t="s">
        <v>116</v>
      </c>
      <c r="C4" s="222"/>
      <c r="D4" s="223"/>
      <c r="E4" s="223"/>
      <c r="F4" s="223"/>
      <c r="G4" s="224"/>
      <c r="H4" s="229" t="s">
        <v>91</v>
      </c>
      <c r="I4" s="226">
        <f>AVERAGE(E11:E13)</f>
        <v>0.41668139747808502</v>
      </c>
      <c r="J4" s="227"/>
      <c r="K4" s="211"/>
      <c r="L4" s="211"/>
      <c r="M4" s="219"/>
      <c r="N4" s="219"/>
      <c r="P4" s="220"/>
      <c r="Q4" s="220"/>
      <c r="R4" s="220"/>
      <c r="S4" s="220"/>
    </row>
    <row r="5" spans="1:24" s="239" customFormat="1" ht="12.75" x14ac:dyDescent="0.2">
      <c r="A5" s="221" t="s">
        <v>92</v>
      </c>
      <c r="B5" s="235" t="s">
        <v>93</v>
      </c>
      <c r="C5" s="222"/>
      <c r="D5" s="223"/>
      <c r="E5" s="223"/>
      <c r="F5" s="236"/>
      <c r="G5" s="236"/>
      <c r="H5" s="229"/>
      <c r="I5" s="237"/>
      <c r="J5" s="227"/>
      <c r="K5" s="211"/>
      <c r="L5" s="211"/>
      <c r="M5" s="238"/>
      <c r="N5" s="238"/>
      <c r="P5" s="240"/>
      <c r="Q5" s="240"/>
      <c r="R5" s="240"/>
      <c r="S5" s="240"/>
    </row>
    <row r="6" spans="1:24" x14ac:dyDescent="0.2">
      <c r="A6" s="241"/>
      <c r="B6" s="241"/>
      <c r="C6" s="241"/>
      <c r="D6" s="241"/>
      <c r="E6" s="242"/>
      <c r="F6" s="245"/>
      <c r="G6" s="246"/>
      <c r="H6" s="243"/>
      <c r="I6" s="243"/>
      <c r="J6" s="188"/>
      <c r="K6" s="188"/>
      <c r="L6" s="243"/>
      <c r="M6" s="243"/>
      <c r="O6" s="188"/>
      <c r="P6" s="244"/>
    </row>
    <row r="7" spans="1:24" ht="12" thickBot="1" x14ac:dyDescent="0.25">
      <c r="A7" s="241"/>
      <c r="B7" s="241"/>
      <c r="C7" s="247"/>
      <c r="D7" s="247"/>
      <c r="E7" s="248"/>
      <c r="F7" s="188"/>
      <c r="G7" s="188"/>
      <c r="H7" s="218" t="s">
        <v>94</v>
      </c>
      <c r="I7" s="243"/>
      <c r="J7" s="188"/>
      <c r="K7" s="218" t="s">
        <v>95</v>
      </c>
      <c r="L7" s="243"/>
      <c r="M7" s="243"/>
      <c r="O7" s="219" t="s">
        <v>96</v>
      </c>
      <c r="P7" s="244"/>
    </row>
    <row r="8" spans="1:24" x14ac:dyDescent="0.2">
      <c r="A8" s="249"/>
      <c r="B8" s="250"/>
      <c r="C8" s="243"/>
      <c r="D8" s="243"/>
      <c r="E8" s="250"/>
      <c r="F8" s="250"/>
      <c r="G8" s="251"/>
      <c r="H8" s="249"/>
      <c r="I8" s="252"/>
      <c r="J8" s="251"/>
      <c r="K8" s="253"/>
      <c r="L8" s="254"/>
      <c r="M8" s="255"/>
      <c r="P8" s="244"/>
      <c r="W8" s="243"/>
      <c r="X8" s="243"/>
    </row>
    <row r="9" spans="1:24" x14ac:dyDescent="0.2">
      <c r="A9" s="256" t="s">
        <v>97</v>
      </c>
      <c r="B9" s="245" t="s">
        <v>98</v>
      </c>
      <c r="C9" s="257" t="s">
        <v>99</v>
      </c>
      <c r="D9" s="258" t="s">
        <v>100</v>
      </c>
      <c r="E9" s="245" t="s">
        <v>31</v>
      </c>
      <c r="F9" s="259" t="s">
        <v>74</v>
      </c>
      <c r="G9" s="251"/>
      <c r="H9" s="245" t="s">
        <v>101</v>
      </c>
      <c r="I9" s="260" t="s">
        <v>102</v>
      </c>
      <c r="J9" s="188"/>
      <c r="K9" s="261" t="s">
        <v>103</v>
      </c>
      <c r="L9" s="228" t="s">
        <v>104</v>
      </c>
      <c r="M9" s="262" t="s">
        <v>105</v>
      </c>
      <c r="O9" s="218" t="s">
        <v>106</v>
      </c>
      <c r="P9" s="244"/>
      <c r="W9" s="263"/>
    </row>
    <row r="10" spans="1:24" ht="12" thickBot="1" x14ac:dyDescent="0.25">
      <c r="A10" s="264" t="s">
        <v>107</v>
      </c>
      <c r="B10" s="265" t="s">
        <v>107</v>
      </c>
      <c r="C10" s="266" t="s">
        <v>108</v>
      </c>
      <c r="D10" s="267" t="s">
        <v>108</v>
      </c>
      <c r="E10" s="268" t="s">
        <v>76</v>
      </c>
      <c r="F10" s="269"/>
      <c r="G10" s="251"/>
      <c r="H10" s="270"/>
      <c r="I10" s="271" t="s">
        <v>109</v>
      </c>
      <c r="J10" s="188"/>
      <c r="K10" s="272"/>
      <c r="L10" s="273"/>
      <c r="M10" s="274" t="s">
        <v>110</v>
      </c>
      <c r="O10" s="188" t="s">
        <v>111</v>
      </c>
      <c r="P10" s="244"/>
      <c r="W10" s="243"/>
    </row>
    <row r="11" spans="1:24" x14ac:dyDescent="0.2">
      <c r="A11" s="292">
        <v>112</v>
      </c>
      <c r="B11" s="292">
        <f>90/2.54</f>
        <v>35.433070866141733</v>
      </c>
      <c r="C11" s="250">
        <v>46</v>
      </c>
      <c r="D11" s="275">
        <v>0</v>
      </c>
      <c r="E11" s="276">
        <f>C11/A11</f>
        <v>0.4107142857142857</v>
      </c>
      <c r="F11" s="188" t="s">
        <v>117</v>
      </c>
      <c r="G11" s="188"/>
      <c r="H11" s="188" t="s">
        <v>119</v>
      </c>
      <c r="I11" s="188">
        <v>308</v>
      </c>
      <c r="J11" s="188"/>
      <c r="K11" s="188"/>
      <c r="L11" s="188" t="s">
        <v>112</v>
      </c>
      <c r="M11" s="277" t="s">
        <v>113</v>
      </c>
      <c r="O11" s="244">
        <f>I1/I3</f>
        <v>0.91708575112830448</v>
      </c>
      <c r="P11" s="244"/>
    </row>
    <row r="12" spans="1:24" x14ac:dyDescent="0.2">
      <c r="A12" s="292">
        <v>103</v>
      </c>
      <c r="B12" s="292">
        <f>70/2.54</f>
        <v>27.559055118110237</v>
      </c>
      <c r="C12" s="188">
        <v>40</v>
      </c>
      <c r="D12" s="278">
        <v>0</v>
      </c>
      <c r="E12" s="279">
        <f>C12/A12</f>
        <v>0.38834951456310679</v>
      </c>
      <c r="F12" s="188"/>
      <c r="G12" s="188"/>
      <c r="H12" s="188" t="s">
        <v>118</v>
      </c>
      <c r="I12" s="188">
        <v>310</v>
      </c>
      <c r="J12" s="188"/>
      <c r="K12" s="188" t="s">
        <v>114</v>
      </c>
      <c r="L12" s="188"/>
      <c r="O12" s="188"/>
      <c r="P12" s="244"/>
    </row>
    <row r="13" spans="1:24" x14ac:dyDescent="0.2">
      <c r="A13" s="292">
        <v>102</v>
      </c>
      <c r="B13" s="292">
        <f>85/2.54</f>
        <v>33.464566929133859</v>
      </c>
      <c r="C13" s="188">
        <v>46</v>
      </c>
      <c r="D13" s="278">
        <v>0</v>
      </c>
      <c r="E13" s="279">
        <f>C13/A13</f>
        <v>0.45098039215686275</v>
      </c>
      <c r="F13" s="280"/>
      <c r="G13" s="188"/>
      <c r="H13" s="188"/>
      <c r="I13" s="188">
        <v>304</v>
      </c>
      <c r="J13" s="188"/>
      <c r="K13" s="188"/>
      <c r="L13" s="188"/>
      <c r="O13" s="188"/>
      <c r="P13" s="244"/>
    </row>
    <row r="14" spans="1:24" x14ac:dyDescent="0.2">
      <c r="A14" s="291"/>
      <c r="B14" s="291"/>
      <c r="C14" s="241"/>
      <c r="D14" s="241"/>
      <c r="E14" s="248"/>
      <c r="F14" s="280"/>
      <c r="G14" s="188"/>
      <c r="H14" s="188"/>
      <c r="I14" s="188">
        <v>320</v>
      </c>
      <c r="J14" s="188"/>
      <c r="K14" s="188" t="s">
        <v>87</v>
      </c>
      <c r="L14" s="188"/>
      <c r="O14" s="188"/>
      <c r="P14" s="244"/>
    </row>
    <row r="15" spans="1:24" ht="15" x14ac:dyDescent="0.25">
      <c r="A15"/>
      <c r="B15"/>
      <c r="C15"/>
      <c r="D15"/>
      <c r="E15"/>
      <c r="F15" s="280"/>
      <c r="G15" s="188"/>
      <c r="H15" s="188"/>
      <c r="I15" s="188">
        <v>304</v>
      </c>
      <c r="J15" s="188"/>
      <c r="K15" s="188"/>
      <c r="L15" s="188"/>
      <c r="O15" s="188"/>
      <c r="P15" s="244"/>
    </row>
    <row r="16" spans="1:24" s="239" customFormat="1" ht="15" x14ac:dyDescent="0.25">
      <c r="A16"/>
      <c r="B16"/>
      <c r="C16"/>
      <c r="D16"/>
      <c r="E16"/>
      <c r="H16" s="188"/>
      <c r="I16" s="188">
        <v>305</v>
      </c>
    </row>
    <row r="17" spans="1:9" s="238" customFormat="1" ht="15" x14ac:dyDescent="0.25">
      <c r="A17"/>
      <c r="B17"/>
      <c r="C17"/>
      <c r="D17"/>
      <c r="E17"/>
      <c r="H17" s="188"/>
      <c r="I17" s="281">
        <v>309</v>
      </c>
    </row>
    <row r="18" spans="1:9" s="239" customFormat="1" ht="13.35" customHeight="1" x14ac:dyDescent="0.2">
      <c r="H18" s="188"/>
      <c r="I18" s="281">
        <v>307</v>
      </c>
    </row>
    <row r="19" spans="1:9" s="282" customFormat="1" ht="15" x14ac:dyDescent="0.25">
      <c r="A19"/>
      <c r="B19"/>
      <c r="C19"/>
      <c r="D19"/>
      <c r="E19"/>
      <c r="F19"/>
      <c r="H19" s="188"/>
      <c r="I19" s="283">
        <v>322</v>
      </c>
    </row>
    <row r="20" spans="1:9" s="285" customFormat="1" ht="13.35" customHeight="1" x14ac:dyDescent="0.25">
      <c r="A20" s="284"/>
      <c r="B20" s="284"/>
      <c r="C20" s="284"/>
      <c r="D20" s="284"/>
      <c r="E20" s="284"/>
      <c r="F20"/>
      <c r="H20" s="188"/>
      <c r="I20" s="286">
        <v>313</v>
      </c>
    </row>
    <row r="21" spans="1:9" s="285" customFormat="1" ht="15" x14ac:dyDescent="0.25">
      <c r="A21"/>
      <c r="B21"/>
      <c r="C21"/>
      <c r="D21"/>
      <c r="E21"/>
      <c r="F21"/>
    </row>
    <row r="22" spans="1:9" s="285" customFormat="1" ht="15" x14ac:dyDescent="0.25">
      <c r="A22"/>
      <c r="B22"/>
      <c r="C22"/>
      <c r="D22"/>
      <c r="E22"/>
      <c r="F22"/>
    </row>
    <row r="23" spans="1:9" s="285" customFormat="1" ht="15" x14ac:dyDescent="0.25">
      <c r="A23"/>
      <c r="B23"/>
      <c r="C23"/>
      <c r="D23"/>
      <c r="E23"/>
      <c r="F23"/>
    </row>
    <row r="24" spans="1:9" s="285" customFormat="1" x14ac:dyDescent="0.25"/>
    <row r="25" spans="1:9" s="287" customFormat="1" x14ac:dyDescent="0.25"/>
    <row r="26" spans="1:9" s="287" customFormat="1" x14ac:dyDescent="0.25"/>
    <row r="27" spans="1:9" s="287" customFormat="1" x14ac:dyDescent="0.25"/>
    <row r="28" spans="1:9" s="287" customFormat="1" x14ac:dyDescent="0.25"/>
    <row r="29" spans="1:9" s="287" customFormat="1" x14ac:dyDescent="0.25"/>
    <row r="30" spans="1:9" s="287" customFormat="1" x14ac:dyDescent="0.25"/>
    <row r="31" spans="1:9" s="287" customFormat="1" x14ac:dyDescent="0.25"/>
    <row r="32" spans="1:9" s="287" customFormat="1" x14ac:dyDescent="0.25"/>
    <row r="33" spans="1:19" x14ac:dyDescent="0.2">
      <c r="A33" s="287"/>
      <c r="C33" s="188"/>
      <c r="D33" s="188"/>
      <c r="E33" s="188"/>
      <c r="F33" s="188"/>
      <c r="G33" s="188"/>
      <c r="H33" s="188"/>
      <c r="I33" s="188"/>
      <c r="J33" s="188"/>
      <c r="K33" s="188"/>
      <c r="L33" s="188"/>
      <c r="O33" s="188"/>
      <c r="P33" s="188"/>
      <c r="Q33" s="188"/>
      <c r="R33" s="188"/>
      <c r="S33" s="188"/>
    </row>
    <row r="34" spans="1:19" x14ac:dyDescent="0.2">
      <c r="A34" s="287"/>
      <c r="C34" s="188"/>
      <c r="D34" s="188"/>
      <c r="E34" s="188"/>
      <c r="F34" s="188"/>
      <c r="G34" s="188"/>
      <c r="H34" s="188"/>
      <c r="I34" s="188"/>
      <c r="J34" s="188"/>
      <c r="K34" s="188"/>
      <c r="L34" s="188"/>
      <c r="O34" s="188"/>
      <c r="P34" s="188"/>
      <c r="Q34" s="188"/>
      <c r="R34" s="188"/>
      <c r="S34" s="188"/>
    </row>
    <row r="35" spans="1:19" ht="15" x14ac:dyDescent="0.25">
      <c r="A35" s="287"/>
      <c r="C35"/>
      <c r="D35" s="188"/>
      <c r="E35" s="188"/>
      <c r="F35" s="188"/>
      <c r="G35" s="188"/>
      <c r="H35" s="188"/>
      <c r="I35" s="188"/>
      <c r="J35" s="188"/>
      <c r="K35" s="188"/>
      <c r="L35" s="188"/>
      <c r="O35" s="188"/>
      <c r="P35" s="188"/>
      <c r="Q35" s="188"/>
      <c r="R35" s="188"/>
      <c r="S35" s="188"/>
    </row>
    <row r="36" spans="1:19" x14ac:dyDescent="0.2">
      <c r="A36" s="287"/>
      <c r="C36" s="188"/>
      <c r="D36" s="188"/>
      <c r="E36" s="188"/>
      <c r="F36" s="188"/>
      <c r="G36" s="188"/>
      <c r="H36" s="188"/>
      <c r="I36" s="188"/>
      <c r="J36" s="188"/>
      <c r="K36" s="188"/>
      <c r="L36" s="188"/>
      <c r="O36" s="188"/>
      <c r="P36" s="188"/>
      <c r="Q36" s="188"/>
      <c r="R36" s="188"/>
      <c r="S36" s="188"/>
    </row>
    <row r="37" spans="1:19" x14ac:dyDescent="0.2">
      <c r="A37" s="287"/>
      <c r="C37" s="188"/>
      <c r="D37" s="188"/>
      <c r="E37" s="188"/>
      <c r="F37" s="188"/>
      <c r="G37" s="188"/>
      <c r="H37" s="188"/>
      <c r="I37" s="188"/>
      <c r="J37" s="188"/>
      <c r="K37" s="188"/>
      <c r="L37" s="188"/>
      <c r="O37" s="188"/>
      <c r="P37" s="188"/>
      <c r="Q37" s="188"/>
      <c r="R37" s="188"/>
      <c r="S37" s="188"/>
    </row>
    <row r="38" spans="1:19" x14ac:dyDescent="0.2">
      <c r="C38" s="188"/>
      <c r="D38" s="188"/>
      <c r="E38" s="188"/>
      <c r="F38" s="188"/>
      <c r="G38" s="188"/>
      <c r="H38" s="188"/>
      <c r="I38" s="188"/>
      <c r="J38" s="188"/>
      <c r="K38" s="188"/>
      <c r="L38" s="188"/>
      <c r="O38" s="188"/>
      <c r="P38" s="188"/>
      <c r="Q38" s="188"/>
      <c r="R38" s="188"/>
      <c r="S38" s="188"/>
    </row>
    <row r="39" spans="1:19" x14ac:dyDescent="0.2">
      <c r="C39" s="188"/>
      <c r="D39" s="188"/>
      <c r="E39" s="188"/>
      <c r="F39" s="188"/>
      <c r="G39" s="188"/>
      <c r="H39" s="188"/>
      <c r="I39" s="188"/>
      <c r="J39" s="188"/>
      <c r="K39" s="188"/>
      <c r="L39" s="188"/>
      <c r="O39" s="188"/>
      <c r="P39" s="188"/>
      <c r="Q39" s="188"/>
      <c r="R39" s="188"/>
      <c r="S39" s="188"/>
    </row>
    <row r="40" spans="1:19" x14ac:dyDescent="0.2">
      <c r="C40" s="188"/>
      <c r="D40" s="188"/>
      <c r="E40" s="188"/>
      <c r="F40" s="188"/>
      <c r="G40" s="188"/>
      <c r="H40" s="188"/>
      <c r="I40" s="188"/>
      <c r="J40" s="188"/>
      <c r="K40" s="188"/>
      <c r="L40" s="188"/>
      <c r="O40" s="188"/>
      <c r="P40" s="188"/>
      <c r="Q40" s="188"/>
      <c r="R40" s="188"/>
      <c r="S40" s="188"/>
    </row>
    <row r="41" spans="1:19" x14ac:dyDescent="0.2">
      <c r="C41" s="188"/>
      <c r="D41" s="188"/>
      <c r="E41" s="188"/>
      <c r="F41" s="188"/>
      <c r="G41" s="188"/>
      <c r="H41" s="188"/>
      <c r="I41" s="188"/>
      <c r="J41" s="188"/>
      <c r="K41" s="188"/>
      <c r="L41" s="188"/>
      <c r="O41" s="188"/>
      <c r="P41" s="188"/>
      <c r="Q41" s="188"/>
      <c r="R41" s="188"/>
      <c r="S41" s="188"/>
    </row>
    <row r="42" spans="1:19" x14ac:dyDescent="0.2">
      <c r="C42" s="188"/>
      <c r="D42" s="188"/>
      <c r="E42" s="188"/>
      <c r="F42" s="188"/>
      <c r="G42" s="188"/>
      <c r="H42" s="188"/>
      <c r="I42" s="188"/>
      <c r="J42" s="188"/>
      <c r="K42" s="188"/>
      <c r="L42" s="188"/>
      <c r="O42" s="188"/>
      <c r="P42" s="188"/>
      <c r="Q42" s="188"/>
      <c r="R42" s="188"/>
      <c r="S42" s="188"/>
    </row>
    <row r="43" spans="1:19" x14ac:dyDescent="0.2">
      <c r="C43" s="188"/>
      <c r="D43" s="188"/>
      <c r="E43" s="188"/>
      <c r="F43" s="188"/>
      <c r="G43" s="188"/>
      <c r="H43" s="188"/>
      <c r="I43" s="188"/>
      <c r="J43" s="188"/>
      <c r="K43" s="188"/>
      <c r="L43" s="188"/>
      <c r="O43" s="188"/>
      <c r="P43" s="188"/>
      <c r="Q43" s="188"/>
      <c r="R43" s="188"/>
      <c r="S43" s="188"/>
    </row>
    <row r="44" spans="1:19" x14ac:dyDescent="0.2">
      <c r="C44" s="188"/>
      <c r="D44" s="188"/>
      <c r="E44" s="188"/>
      <c r="F44" s="188"/>
      <c r="G44" s="188"/>
      <c r="H44" s="188"/>
      <c r="I44" s="243"/>
      <c r="J44" s="188"/>
      <c r="K44" s="188"/>
      <c r="L44" s="243"/>
      <c r="M44" s="243"/>
      <c r="O44" s="188"/>
      <c r="P44" s="244"/>
    </row>
    <row r="45" spans="1:19" x14ac:dyDescent="0.2">
      <c r="C45" s="188"/>
      <c r="D45" s="188"/>
      <c r="E45" s="188"/>
      <c r="F45" s="188"/>
      <c r="G45" s="188"/>
      <c r="H45" s="188"/>
      <c r="I45" s="243"/>
      <c r="J45" s="188"/>
      <c r="K45" s="188"/>
      <c r="L45" s="243"/>
      <c r="M45" s="243"/>
      <c r="O45" s="188"/>
      <c r="P45" s="244"/>
    </row>
    <row r="46" spans="1:19" x14ac:dyDescent="0.2">
      <c r="C46" s="188"/>
      <c r="D46" s="188"/>
      <c r="E46" s="188"/>
      <c r="F46" s="188"/>
      <c r="G46" s="188"/>
      <c r="H46" s="188"/>
      <c r="I46" s="243"/>
      <c r="J46" s="188"/>
      <c r="K46" s="188"/>
      <c r="L46" s="243"/>
      <c r="M46" s="243"/>
      <c r="O46" s="188"/>
      <c r="P46" s="244"/>
    </row>
    <row r="47" spans="1:19" x14ac:dyDescent="0.2">
      <c r="C47" s="188"/>
      <c r="D47" s="188"/>
      <c r="E47" s="188"/>
      <c r="F47" s="188"/>
      <c r="G47" s="188"/>
      <c r="H47" s="188"/>
      <c r="I47" s="188"/>
      <c r="J47" s="288"/>
      <c r="K47" s="188"/>
      <c r="L47" s="243"/>
      <c r="M47" s="243"/>
      <c r="O47" s="188"/>
      <c r="P47" s="244"/>
    </row>
    <row r="48" spans="1:19" x14ac:dyDescent="0.2">
      <c r="C48" s="188"/>
      <c r="D48" s="188"/>
      <c r="E48" s="188"/>
      <c r="F48" s="188"/>
      <c r="G48" s="188"/>
      <c r="H48" s="188"/>
      <c r="I48" s="188"/>
      <c r="J48" s="288"/>
      <c r="K48" s="188"/>
      <c r="L48" s="243"/>
      <c r="M48" s="243"/>
      <c r="O48" s="188"/>
      <c r="P48" s="244"/>
    </row>
    <row r="49" spans="1:26" x14ac:dyDescent="0.2">
      <c r="A49" s="241"/>
      <c r="B49" s="241"/>
      <c r="C49" s="241"/>
      <c r="D49" s="241"/>
      <c r="E49" s="248"/>
      <c r="F49" s="280"/>
      <c r="G49" s="188"/>
      <c r="H49" s="188"/>
      <c r="I49" s="243"/>
      <c r="J49" s="188"/>
      <c r="K49" s="188"/>
      <c r="L49" s="243"/>
      <c r="M49" s="243"/>
      <c r="O49" s="188"/>
      <c r="P49" s="244"/>
    </row>
    <row r="50" spans="1:26" x14ac:dyDescent="0.2">
      <c r="A50" s="241"/>
      <c r="B50" s="241"/>
      <c r="C50" s="241"/>
      <c r="D50" s="241"/>
      <c r="E50" s="248"/>
      <c r="F50" s="280"/>
      <c r="G50" s="188"/>
      <c r="H50" s="188"/>
      <c r="I50" s="243"/>
      <c r="J50" s="188"/>
      <c r="K50" s="188"/>
      <c r="L50" s="243"/>
      <c r="M50" s="243"/>
      <c r="O50" s="188"/>
      <c r="P50" s="244"/>
    </row>
    <row r="51" spans="1:26" x14ac:dyDescent="0.2">
      <c r="A51" s="241"/>
      <c r="B51" s="241"/>
      <c r="C51" s="241"/>
      <c r="D51" s="241"/>
      <c r="E51" s="248"/>
      <c r="F51" s="280"/>
      <c r="G51" s="188"/>
      <c r="H51" s="188"/>
      <c r="I51" s="243"/>
      <c r="J51" s="188"/>
      <c r="K51" s="188"/>
      <c r="L51" s="243"/>
      <c r="M51" s="243"/>
      <c r="O51" s="188"/>
      <c r="P51" s="244"/>
    </row>
    <row r="52" spans="1:26" x14ac:dyDescent="0.2">
      <c r="A52" s="241"/>
      <c r="B52" s="241"/>
      <c r="C52" s="241"/>
      <c r="D52" s="241"/>
      <c r="E52" s="248"/>
      <c r="F52" s="280"/>
      <c r="G52" s="188"/>
      <c r="H52" s="188"/>
      <c r="I52" s="243"/>
      <c r="J52" s="188"/>
      <c r="K52" s="188"/>
      <c r="L52" s="243"/>
      <c r="M52" s="243"/>
      <c r="O52" s="188"/>
      <c r="P52" s="244"/>
    </row>
    <row r="53" spans="1:26" x14ac:dyDescent="0.2">
      <c r="A53" s="241"/>
      <c r="B53" s="241"/>
      <c r="C53" s="241"/>
      <c r="D53" s="241"/>
      <c r="E53" s="248"/>
      <c r="F53" s="280"/>
      <c r="G53" s="188"/>
      <c r="H53" s="188"/>
      <c r="I53" s="243"/>
      <c r="J53" s="188"/>
      <c r="K53" s="188"/>
      <c r="L53" s="243"/>
      <c r="M53" s="243"/>
      <c r="O53" s="188"/>
      <c r="P53" s="244"/>
    </row>
    <row r="54" spans="1:26" x14ac:dyDescent="0.2">
      <c r="A54" s="241"/>
      <c r="B54" s="241"/>
      <c r="C54" s="241"/>
      <c r="D54" s="241"/>
      <c r="E54" s="248"/>
      <c r="F54" s="280"/>
      <c r="G54" s="188"/>
      <c r="H54" s="188"/>
      <c r="I54" s="243"/>
      <c r="J54" s="188"/>
      <c r="K54" s="188"/>
      <c r="L54" s="243"/>
      <c r="O54" s="188"/>
      <c r="P54" s="244"/>
      <c r="W54" s="243"/>
      <c r="X54" s="243"/>
    </row>
    <row r="55" spans="1:26" x14ac:dyDescent="0.2">
      <c r="A55" s="241"/>
      <c r="B55" s="241"/>
      <c r="C55" s="241"/>
      <c r="D55" s="241"/>
      <c r="E55" s="248"/>
      <c r="F55" s="280"/>
      <c r="G55" s="188"/>
      <c r="H55" s="188"/>
      <c r="I55" s="243"/>
      <c r="J55" s="188"/>
      <c r="K55" s="188"/>
      <c r="L55" s="243"/>
      <c r="O55" s="188"/>
      <c r="P55" s="244"/>
      <c r="W55" s="263"/>
      <c r="X55" s="243"/>
      <c r="Y55" s="243"/>
      <c r="Z55" s="243"/>
    </row>
    <row r="56" spans="1:26" x14ac:dyDescent="0.2">
      <c r="A56" s="241"/>
      <c r="B56" s="241"/>
      <c r="C56" s="241"/>
      <c r="D56" s="241"/>
      <c r="E56" s="248"/>
      <c r="F56" s="280"/>
      <c r="G56" s="188"/>
      <c r="H56" s="188"/>
      <c r="I56" s="243"/>
      <c r="J56" s="188"/>
      <c r="K56" s="188"/>
      <c r="L56" s="188"/>
      <c r="O56" s="188"/>
      <c r="P56" s="244"/>
      <c r="W56" s="263"/>
    </row>
    <row r="57" spans="1:26" x14ac:dyDescent="0.2">
      <c r="A57" s="241"/>
      <c r="B57" s="241"/>
      <c r="C57" s="241"/>
      <c r="D57" s="241"/>
      <c r="E57" s="248"/>
      <c r="F57" s="280"/>
      <c r="G57" s="188"/>
      <c r="H57" s="188"/>
      <c r="I57" s="243"/>
      <c r="J57" s="188"/>
      <c r="K57" s="188"/>
      <c r="L57" s="188"/>
      <c r="O57" s="188"/>
      <c r="P57" s="244"/>
      <c r="W57" s="243"/>
    </row>
    <row r="58" spans="1:26" x14ac:dyDescent="0.2">
      <c r="A58" s="241"/>
      <c r="B58" s="241"/>
      <c r="C58" s="241"/>
      <c r="D58" s="241"/>
      <c r="E58" s="248"/>
      <c r="F58" s="280"/>
      <c r="G58" s="188"/>
      <c r="H58" s="188"/>
      <c r="I58" s="243"/>
      <c r="J58" s="188"/>
      <c r="K58" s="188"/>
      <c r="L58" s="188"/>
      <c r="O58" s="188"/>
      <c r="P58" s="244"/>
    </row>
    <row r="59" spans="1:26" x14ac:dyDescent="0.2">
      <c r="A59" s="241"/>
      <c r="B59" s="241"/>
      <c r="C59" s="241"/>
      <c r="D59" s="241"/>
      <c r="E59" s="248"/>
      <c r="F59" s="280"/>
      <c r="G59" s="188"/>
      <c r="H59" s="188"/>
      <c r="I59" s="243"/>
      <c r="J59" s="188"/>
      <c r="K59" s="188"/>
      <c r="L59" s="188"/>
      <c r="O59" s="188"/>
      <c r="P59" s="244"/>
    </row>
    <row r="60" spans="1:26" x14ac:dyDescent="0.2">
      <c r="A60" s="241"/>
      <c r="B60" s="241"/>
      <c r="C60" s="241"/>
      <c r="D60" s="241"/>
      <c r="E60" s="248"/>
      <c r="F60" s="280"/>
      <c r="G60" s="188"/>
      <c r="H60" s="188"/>
      <c r="I60" s="243"/>
      <c r="J60" s="188"/>
      <c r="K60" s="188"/>
      <c r="L60" s="188"/>
      <c r="O60" s="188"/>
      <c r="P60" s="244"/>
    </row>
    <row r="61" spans="1:26" x14ac:dyDescent="0.2">
      <c r="A61" s="241"/>
      <c r="B61" s="241"/>
      <c r="C61" s="241"/>
      <c r="D61" s="241"/>
      <c r="E61" s="248"/>
      <c r="F61" s="280"/>
      <c r="G61" s="188"/>
      <c r="H61" s="188"/>
      <c r="I61" s="243"/>
      <c r="J61" s="188"/>
      <c r="K61" s="188"/>
      <c r="L61" s="188"/>
      <c r="O61" s="188"/>
      <c r="P61" s="244"/>
    </row>
    <row r="62" spans="1:26" x14ac:dyDescent="0.2">
      <c r="A62" s="241"/>
      <c r="B62" s="241"/>
      <c r="C62" s="241"/>
      <c r="D62" s="241"/>
      <c r="E62" s="248"/>
      <c r="F62" s="280"/>
      <c r="G62" s="188"/>
      <c r="H62" s="188"/>
      <c r="I62" s="243"/>
      <c r="J62" s="188"/>
      <c r="K62" s="188"/>
      <c r="L62" s="188"/>
      <c r="O62" s="188"/>
      <c r="P62" s="244"/>
    </row>
    <row r="63" spans="1:26" x14ac:dyDescent="0.2">
      <c r="A63" s="241"/>
      <c r="B63" s="241"/>
      <c r="C63" s="241"/>
      <c r="D63" s="241"/>
      <c r="E63" s="248"/>
      <c r="F63" s="280"/>
      <c r="G63" s="188"/>
      <c r="H63" s="188"/>
      <c r="I63" s="243"/>
      <c r="J63" s="188"/>
      <c r="K63" s="188"/>
      <c r="L63" s="188"/>
      <c r="O63" s="188"/>
      <c r="P63" s="244"/>
    </row>
    <row r="64" spans="1:26" x14ac:dyDescent="0.2">
      <c r="A64" s="241"/>
      <c r="B64" s="241"/>
      <c r="C64" s="241"/>
      <c r="D64" s="241"/>
      <c r="E64" s="248"/>
      <c r="F64" s="280"/>
      <c r="G64" s="188"/>
      <c r="H64" s="188"/>
      <c r="I64" s="243"/>
      <c r="J64" s="188"/>
      <c r="K64" s="188"/>
      <c r="L64" s="188"/>
      <c r="O64" s="188"/>
      <c r="P64" s="244"/>
    </row>
    <row r="65" spans="1:22" x14ac:dyDescent="0.2">
      <c r="A65" s="241"/>
      <c r="B65" s="241"/>
      <c r="C65" s="241"/>
      <c r="D65" s="241"/>
      <c r="E65" s="248"/>
      <c r="F65" s="280"/>
      <c r="G65" s="188"/>
      <c r="H65" s="188"/>
      <c r="I65" s="243"/>
      <c r="J65" s="188"/>
      <c r="K65" s="188"/>
      <c r="L65" s="188"/>
      <c r="O65" s="188"/>
      <c r="P65" s="244"/>
    </row>
    <row r="66" spans="1:22" x14ac:dyDescent="0.2">
      <c r="A66" s="241"/>
      <c r="B66" s="241"/>
      <c r="C66" s="241"/>
      <c r="D66" s="241"/>
      <c r="E66" s="248"/>
      <c r="F66" s="280"/>
      <c r="G66" s="188"/>
      <c r="H66" s="188"/>
      <c r="I66" s="243"/>
      <c r="J66" s="188"/>
      <c r="K66" s="188"/>
      <c r="L66" s="188"/>
      <c r="O66" s="188"/>
      <c r="P66" s="244"/>
    </row>
    <row r="67" spans="1:22" x14ac:dyDescent="0.2">
      <c r="A67" s="241"/>
      <c r="B67" s="241"/>
      <c r="C67" s="241"/>
      <c r="D67" s="241"/>
      <c r="E67" s="248"/>
      <c r="F67" s="280"/>
      <c r="G67" s="244"/>
      <c r="H67" s="188"/>
      <c r="I67" s="243"/>
      <c r="J67" s="188"/>
      <c r="K67" s="188"/>
      <c r="L67" s="188"/>
      <c r="O67" s="188"/>
      <c r="P67" s="244"/>
    </row>
    <row r="68" spans="1:22" x14ac:dyDescent="0.2">
      <c r="A68" s="241"/>
      <c r="B68" s="241"/>
      <c r="C68" s="241"/>
      <c r="D68" s="241"/>
      <c r="E68" s="248"/>
      <c r="F68" s="280"/>
      <c r="G68" s="244"/>
      <c r="H68" s="188"/>
      <c r="I68" s="243"/>
      <c r="J68" s="188"/>
      <c r="K68" s="188"/>
      <c r="L68" s="188"/>
      <c r="O68" s="188"/>
      <c r="P68" s="244"/>
    </row>
    <row r="69" spans="1:22" x14ac:dyDescent="0.2">
      <c r="A69" s="241"/>
      <c r="B69" s="241"/>
      <c r="C69" s="241"/>
      <c r="D69" s="241"/>
      <c r="E69" s="248"/>
      <c r="F69" s="280"/>
      <c r="G69" s="244"/>
      <c r="H69" s="188"/>
      <c r="I69" s="243"/>
      <c r="J69" s="188"/>
      <c r="K69" s="188"/>
      <c r="L69" s="188"/>
      <c r="O69" s="188"/>
      <c r="P69" s="244"/>
    </row>
    <row r="70" spans="1:22" x14ac:dyDescent="0.2">
      <c r="A70" s="241"/>
      <c r="B70" s="241"/>
      <c r="C70" s="241"/>
      <c r="D70" s="241"/>
      <c r="E70" s="248"/>
      <c r="F70" s="280"/>
      <c r="G70" s="244"/>
      <c r="H70" s="188"/>
      <c r="I70" s="243"/>
      <c r="J70" s="188"/>
      <c r="K70" s="188"/>
      <c r="L70" s="188"/>
      <c r="O70" s="188"/>
      <c r="P70" s="244"/>
    </row>
    <row r="71" spans="1:22" x14ac:dyDescent="0.2">
      <c r="A71" s="241"/>
      <c r="B71" s="241"/>
      <c r="C71" s="241"/>
      <c r="D71" s="241"/>
      <c r="E71" s="248"/>
      <c r="F71" s="280"/>
      <c r="G71" s="188"/>
      <c r="H71" s="188"/>
      <c r="I71" s="243"/>
      <c r="J71" s="188"/>
      <c r="K71" s="188"/>
      <c r="L71" s="188"/>
      <c r="O71" s="188"/>
      <c r="P71" s="244"/>
    </row>
    <row r="72" spans="1:22" x14ac:dyDescent="0.2">
      <c r="A72" s="241"/>
      <c r="B72" s="241"/>
      <c r="C72" s="241"/>
      <c r="D72" s="241"/>
      <c r="E72" s="248"/>
      <c r="F72" s="280"/>
      <c r="G72" s="188"/>
      <c r="H72" s="188"/>
      <c r="I72" s="243"/>
      <c r="J72" s="188"/>
      <c r="K72" s="188"/>
      <c r="L72" s="188"/>
      <c r="O72" s="188"/>
      <c r="P72" s="244"/>
    </row>
    <row r="73" spans="1:22" x14ac:dyDescent="0.2">
      <c r="A73" s="241"/>
      <c r="B73" s="241"/>
      <c r="C73" s="241"/>
      <c r="D73" s="241"/>
      <c r="E73" s="248"/>
      <c r="F73" s="280"/>
      <c r="G73" s="188"/>
      <c r="H73" s="188"/>
      <c r="I73" s="243"/>
      <c r="J73" s="188"/>
      <c r="K73" s="188"/>
      <c r="L73" s="188"/>
      <c r="O73" s="188"/>
      <c r="P73" s="244"/>
      <c r="R73" s="278"/>
      <c r="S73" s="278"/>
      <c r="T73" s="241"/>
      <c r="U73" s="241"/>
      <c r="V73" s="241"/>
    </row>
    <row r="74" spans="1:22" x14ac:dyDescent="0.2">
      <c r="A74" s="241"/>
      <c r="B74" s="241"/>
      <c r="C74" s="241"/>
      <c r="D74" s="241"/>
      <c r="E74" s="248"/>
      <c r="F74" s="280"/>
      <c r="G74" s="188"/>
      <c r="H74" s="188"/>
      <c r="I74" s="243"/>
      <c r="J74" s="188"/>
      <c r="K74" s="188"/>
      <c r="L74" s="188"/>
      <c r="O74" s="188"/>
      <c r="P74" s="244"/>
      <c r="R74" s="278"/>
      <c r="S74" s="278"/>
      <c r="T74" s="241"/>
      <c r="U74" s="241"/>
      <c r="V74" s="241"/>
    </row>
    <row r="75" spans="1:22" x14ac:dyDescent="0.2">
      <c r="A75" s="241"/>
      <c r="B75" s="241"/>
      <c r="C75" s="241"/>
      <c r="D75" s="241"/>
      <c r="E75" s="248"/>
      <c r="F75" s="280"/>
      <c r="G75" s="188"/>
      <c r="H75" s="188"/>
      <c r="I75" s="243"/>
      <c r="J75" s="188"/>
      <c r="K75" s="188"/>
      <c r="L75" s="188"/>
      <c r="O75" s="188"/>
      <c r="P75" s="244"/>
      <c r="R75" s="278"/>
      <c r="S75" s="278"/>
      <c r="T75" s="241"/>
      <c r="U75" s="241"/>
      <c r="V75" s="241"/>
    </row>
    <row r="76" spans="1:22" x14ac:dyDescent="0.2">
      <c r="A76" s="241"/>
      <c r="B76" s="241"/>
      <c r="C76" s="241"/>
      <c r="D76" s="241"/>
      <c r="E76" s="248"/>
      <c r="F76" s="280"/>
      <c r="G76" s="188"/>
      <c r="H76" s="188"/>
      <c r="I76" s="243"/>
      <c r="J76" s="188"/>
      <c r="K76" s="188"/>
      <c r="L76" s="188"/>
      <c r="O76" s="188"/>
      <c r="P76" s="244"/>
      <c r="R76" s="278"/>
      <c r="S76" s="278"/>
      <c r="T76" s="241"/>
      <c r="U76" s="241"/>
      <c r="V76" s="241"/>
    </row>
    <row r="77" spans="1:22" x14ac:dyDescent="0.2">
      <c r="A77" s="241"/>
      <c r="B77" s="241"/>
      <c r="C77" s="241"/>
      <c r="D77" s="241"/>
      <c r="E77" s="248"/>
      <c r="F77" s="280"/>
      <c r="G77" s="188"/>
      <c r="H77" s="188"/>
      <c r="I77" s="243"/>
      <c r="J77" s="188"/>
      <c r="K77" s="188"/>
      <c r="L77" s="188"/>
      <c r="O77" s="188"/>
      <c r="P77" s="244"/>
      <c r="R77" s="278"/>
      <c r="S77" s="278"/>
      <c r="T77" s="241"/>
      <c r="U77" s="241"/>
      <c r="V77" s="241"/>
    </row>
    <row r="78" spans="1:22" x14ac:dyDescent="0.2">
      <c r="A78" s="241"/>
      <c r="B78" s="241"/>
      <c r="C78" s="241"/>
      <c r="D78" s="241"/>
      <c r="E78" s="248"/>
      <c r="F78" s="280"/>
      <c r="G78" s="188"/>
      <c r="H78" s="188"/>
      <c r="I78" s="243"/>
      <c r="J78" s="188"/>
      <c r="K78" s="188"/>
      <c r="L78" s="188"/>
      <c r="N78" s="241"/>
      <c r="O78" s="241"/>
      <c r="P78" s="278"/>
      <c r="Q78" s="278"/>
      <c r="R78" s="278"/>
      <c r="S78" s="278"/>
      <c r="T78" s="241"/>
      <c r="U78" s="241"/>
      <c r="V78" s="241"/>
    </row>
    <row r="79" spans="1:22" x14ac:dyDescent="0.2">
      <c r="A79" s="241"/>
      <c r="B79" s="241"/>
      <c r="C79" s="241"/>
      <c r="D79" s="241"/>
      <c r="E79" s="248"/>
      <c r="F79" s="280"/>
      <c r="G79" s="188"/>
      <c r="H79" s="188"/>
      <c r="I79" s="243"/>
      <c r="J79" s="188"/>
      <c r="K79" s="188"/>
      <c r="L79" s="188"/>
      <c r="N79" s="241"/>
      <c r="O79" s="241"/>
      <c r="P79" s="278"/>
      <c r="Q79" s="278"/>
      <c r="R79" s="278"/>
      <c r="S79" s="278"/>
      <c r="T79" s="241"/>
      <c r="U79" s="241"/>
      <c r="V79" s="241"/>
    </row>
    <row r="80" spans="1:22" x14ac:dyDescent="0.2">
      <c r="A80" s="241"/>
      <c r="B80" s="241"/>
      <c r="C80" s="241"/>
      <c r="D80" s="241"/>
      <c r="E80" s="248"/>
      <c r="F80" s="280"/>
      <c r="G80" s="188"/>
      <c r="H80" s="188"/>
      <c r="I80" s="243"/>
      <c r="J80" s="188"/>
      <c r="K80" s="188"/>
      <c r="L80" s="188"/>
      <c r="N80" s="241"/>
      <c r="O80" s="241"/>
      <c r="P80" s="278"/>
      <c r="Q80" s="278"/>
      <c r="R80" s="278"/>
      <c r="S80" s="278"/>
      <c r="T80" s="241"/>
      <c r="U80" s="241"/>
      <c r="V80" s="241"/>
    </row>
    <row r="81" spans="1:22" x14ac:dyDescent="0.2">
      <c r="A81" s="241"/>
      <c r="B81" s="241"/>
      <c r="C81" s="241"/>
      <c r="D81" s="241"/>
      <c r="E81" s="248"/>
      <c r="F81" s="280"/>
      <c r="G81" s="188"/>
      <c r="H81" s="188"/>
      <c r="I81" s="243"/>
      <c r="J81" s="188"/>
      <c r="K81" s="188"/>
      <c r="L81" s="188"/>
      <c r="N81" s="241"/>
      <c r="O81" s="241"/>
      <c r="P81" s="278"/>
      <c r="Q81" s="278"/>
      <c r="R81" s="278"/>
      <c r="S81" s="278"/>
      <c r="T81" s="241"/>
      <c r="U81" s="241"/>
      <c r="V81" s="241"/>
    </row>
    <row r="82" spans="1:22" x14ac:dyDescent="0.2">
      <c r="A82" s="241"/>
      <c r="B82" s="241"/>
      <c r="C82" s="241"/>
      <c r="D82" s="241"/>
      <c r="E82" s="248"/>
      <c r="F82" s="280"/>
      <c r="G82" s="188"/>
      <c r="H82" s="188"/>
      <c r="I82" s="243"/>
      <c r="J82" s="188"/>
      <c r="K82" s="188"/>
      <c r="L82" s="188"/>
      <c r="N82" s="241"/>
      <c r="O82" s="241"/>
      <c r="P82" s="278"/>
      <c r="Q82" s="278"/>
      <c r="R82" s="278"/>
      <c r="S82" s="278"/>
      <c r="T82" s="241"/>
      <c r="U82" s="241"/>
      <c r="V82" s="241"/>
    </row>
    <row r="83" spans="1:22" x14ac:dyDescent="0.2">
      <c r="A83" s="241"/>
      <c r="B83" s="241"/>
      <c r="C83" s="241"/>
      <c r="D83" s="241"/>
      <c r="E83" s="248"/>
      <c r="F83" s="280"/>
      <c r="G83" s="188"/>
      <c r="H83" s="188"/>
      <c r="I83" s="243"/>
      <c r="J83" s="188"/>
      <c r="K83" s="188"/>
      <c r="L83" s="188"/>
      <c r="N83" s="241"/>
      <c r="O83" s="241"/>
      <c r="P83" s="278"/>
      <c r="Q83" s="278"/>
      <c r="R83" s="278"/>
      <c r="S83" s="278"/>
      <c r="T83" s="241"/>
      <c r="U83" s="241"/>
      <c r="V83" s="241"/>
    </row>
    <row r="84" spans="1:22" x14ac:dyDescent="0.2">
      <c r="A84" s="241"/>
      <c r="B84" s="241"/>
      <c r="C84" s="241"/>
      <c r="D84" s="241"/>
      <c r="E84" s="248"/>
      <c r="F84" s="280"/>
      <c r="G84" s="188"/>
      <c r="H84" s="188"/>
      <c r="I84" s="243"/>
      <c r="J84" s="188"/>
      <c r="K84" s="188"/>
      <c r="L84" s="188"/>
      <c r="N84" s="241"/>
      <c r="O84" s="241"/>
      <c r="P84" s="278"/>
      <c r="Q84" s="278"/>
      <c r="R84" s="278"/>
      <c r="S84" s="278"/>
      <c r="T84" s="241"/>
      <c r="U84" s="241"/>
      <c r="V84" s="241"/>
    </row>
    <row r="85" spans="1:22" x14ac:dyDescent="0.2">
      <c r="A85" s="241"/>
      <c r="B85" s="241"/>
      <c r="C85" s="241"/>
      <c r="D85" s="241"/>
      <c r="E85" s="248"/>
      <c r="F85" s="280"/>
      <c r="G85" s="188"/>
      <c r="H85" s="188"/>
      <c r="I85" s="243"/>
      <c r="J85" s="188"/>
      <c r="K85" s="188"/>
      <c r="L85" s="188"/>
      <c r="N85" s="241"/>
      <c r="O85" s="241"/>
      <c r="P85" s="278"/>
      <c r="Q85" s="278"/>
      <c r="R85" s="278"/>
      <c r="S85" s="278"/>
      <c r="T85" s="241"/>
      <c r="U85" s="241"/>
      <c r="V85" s="241"/>
    </row>
    <row r="86" spans="1:22" x14ac:dyDescent="0.2">
      <c r="A86" s="241"/>
      <c r="B86" s="241"/>
      <c r="C86" s="241"/>
      <c r="D86" s="241"/>
      <c r="E86" s="248"/>
      <c r="F86" s="280"/>
      <c r="G86" s="188"/>
      <c r="H86" s="188"/>
      <c r="I86" s="243"/>
      <c r="J86" s="188"/>
      <c r="K86" s="188"/>
      <c r="L86" s="188"/>
      <c r="N86" s="241"/>
      <c r="O86" s="241"/>
      <c r="P86" s="278"/>
      <c r="Q86" s="278"/>
      <c r="R86" s="278"/>
      <c r="S86" s="278"/>
      <c r="T86" s="241"/>
      <c r="U86" s="241"/>
      <c r="V86" s="241"/>
    </row>
    <row r="87" spans="1:22" x14ac:dyDescent="0.2">
      <c r="A87" s="241"/>
      <c r="B87" s="241"/>
      <c r="C87" s="241"/>
      <c r="D87" s="241"/>
      <c r="E87" s="248"/>
      <c r="F87" s="280"/>
      <c r="G87" s="188"/>
      <c r="H87" s="188"/>
      <c r="I87" s="243"/>
      <c r="J87" s="188"/>
      <c r="K87" s="188"/>
      <c r="L87" s="188"/>
      <c r="N87" s="241"/>
      <c r="O87" s="241"/>
      <c r="P87" s="278"/>
      <c r="Q87" s="278"/>
      <c r="R87" s="278"/>
      <c r="S87" s="278"/>
      <c r="T87" s="241"/>
      <c r="U87" s="241"/>
      <c r="V87" s="241"/>
    </row>
    <row r="88" spans="1:22" x14ac:dyDescent="0.2">
      <c r="A88" s="241"/>
      <c r="B88" s="241"/>
      <c r="C88" s="241"/>
      <c r="D88" s="241"/>
      <c r="E88" s="248"/>
      <c r="F88" s="280"/>
      <c r="G88" s="188"/>
      <c r="H88" s="188"/>
      <c r="I88" s="243"/>
      <c r="J88" s="188"/>
      <c r="K88" s="188"/>
      <c r="L88" s="188"/>
      <c r="N88" s="241"/>
      <c r="O88" s="241"/>
      <c r="P88" s="278"/>
      <c r="Q88" s="278"/>
      <c r="R88" s="278"/>
      <c r="S88" s="278"/>
      <c r="T88" s="241"/>
      <c r="U88" s="241"/>
      <c r="V88" s="241"/>
    </row>
    <row r="89" spans="1:22" x14ac:dyDescent="0.2">
      <c r="A89" s="241"/>
      <c r="B89" s="241"/>
      <c r="C89" s="241"/>
      <c r="D89" s="241"/>
      <c r="E89" s="248"/>
      <c r="F89" s="280"/>
      <c r="G89" s="188"/>
      <c r="H89" s="188"/>
      <c r="I89" s="243"/>
      <c r="J89" s="188"/>
      <c r="K89" s="188"/>
      <c r="L89" s="188"/>
      <c r="N89" s="241"/>
      <c r="O89" s="241"/>
      <c r="P89" s="278"/>
      <c r="Q89" s="278"/>
      <c r="R89" s="278"/>
      <c r="S89" s="278"/>
      <c r="T89" s="241"/>
      <c r="U89" s="241"/>
      <c r="V89" s="241"/>
    </row>
    <row r="90" spans="1:22" s="241" customFormat="1" x14ac:dyDescent="0.2">
      <c r="E90" s="248"/>
      <c r="F90" s="280"/>
      <c r="G90" s="188"/>
      <c r="H90" s="188"/>
      <c r="I90" s="243"/>
      <c r="J90" s="188"/>
      <c r="K90" s="188"/>
      <c r="L90" s="188"/>
      <c r="M90" s="188"/>
      <c r="P90" s="278"/>
      <c r="Q90" s="278"/>
      <c r="R90" s="278"/>
      <c r="S90" s="278"/>
    </row>
    <row r="91" spans="1:22" s="241" customFormat="1" x14ac:dyDescent="0.2">
      <c r="E91" s="248"/>
      <c r="F91" s="280"/>
      <c r="G91" s="188"/>
      <c r="H91" s="188"/>
      <c r="I91" s="243"/>
      <c r="J91" s="188"/>
      <c r="K91" s="188"/>
      <c r="L91" s="188"/>
      <c r="M91" s="188"/>
      <c r="P91" s="278"/>
      <c r="Q91" s="278"/>
      <c r="R91" s="278"/>
      <c r="S91" s="278"/>
    </row>
    <row r="92" spans="1:22" s="241" customFormat="1" x14ac:dyDescent="0.2">
      <c r="E92" s="248"/>
      <c r="F92" s="280"/>
      <c r="G92" s="188"/>
      <c r="H92" s="188"/>
      <c r="I92" s="243"/>
      <c r="J92" s="188"/>
      <c r="K92" s="188"/>
      <c r="L92" s="188"/>
      <c r="M92" s="188"/>
      <c r="P92" s="278"/>
      <c r="Q92" s="278"/>
      <c r="R92" s="278"/>
      <c r="S92" s="278"/>
    </row>
    <row r="93" spans="1:22" s="241" customFormat="1" x14ac:dyDescent="0.2">
      <c r="E93" s="248"/>
      <c r="F93" s="280"/>
      <c r="G93" s="188"/>
      <c r="H93" s="188"/>
      <c r="I93" s="243"/>
      <c r="J93" s="188"/>
      <c r="K93" s="188"/>
      <c r="L93" s="188"/>
      <c r="P93" s="278"/>
      <c r="Q93" s="278"/>
      <c r="R93" s="278"/>
      <c r="S93" s="278"/>
    </row>
    <row r="94" spans="1:22" s="241" customFormat="1" x14ac:dyDescent="0.2">
      <c r="E94" s="248"/>
      <c r="F94" s="280"/>
      <c r="G94" s="188"/>
      <c r="H94" s="188"/>
      <c r="I94" s="243"/>
      <c r="J94" s="188"/>
      <c r="K94" s="188"/>
      <c r="L94" s="188"/>
      <c r="P94" s="278"/>
      <c r="Q94" s="278"/>
      <c r="R94" s="278"/>
      <c r="S94" s="278"/>
    </row>
    <row r="95" spans="1:22" s="241" customFormat="1" x14ac:dyDescent="0.2">
      <c r="E95" s="248"/>
      <c r="F95" s="280"/>
      <c r="G95" s="188"/>
      <c r="H95" s="188"/>
      <c r="I95" s="243"/>
      <c r="J95" s="188"/>
      <c r="K95" s="188"/>
      <c r="L95" s="188"/>
      <c r="P95" s="278"/>
      <c r="Q95" s="278"/>
      <c r="R95" s="278"/>
      <c r="S95" s="278"/>
    </row>
    <row r="96" spans="1:22" s="241" customFormat="1" x14ac:dyDescent="0.2">
      <c r="E96" s="248"/>
      <c r="F96" s="280"/>
      <c r="G96" s="188"/>
      <c r="H96" s="188"/>
      <c r="I96" s="243"/>
      <c r="J96" s="188"/>
      <c r="K96" s="188"/>
      <c r="L96" s="188"/>
      <c r="P96" s="278"/>
      <c r="Q96" s="278"/>
      <c r="R96" s="278"/>
      <c r="S96" s="278"/>
    </row>
    <row r="97" spans="5:19" s="241" customFormat="1" x14ac:dyDescent="0.2">
      <c r="E97" s="248"/>
      <c r="F97" s="280"/>
      <c r="G97" s="188"/>
      <c r="H97" s="188"/>
      <c r="I97" s="243"/>
      <c r="J97" s="188"/>
      <c r="K97" s="188"/>
      <c r="L97" s="188"/>
      <c r="P97" s="278"/>
      <c r="Q97" s="278"/>
      <c r="R97" s="278"/>
      <c r="S97" s="278"/>
    </row>
    <row r="98" spans="5:19" s="241" customFormat="1" x14ac:dyDescent="0.2">
      <c r="E98" s="248"/>
      <c r="F98" s="280"/>
      <c r="G98" s="188"/>
      <c r="H98" s="188"/>
      <c r="I98" s="243"/>
      <c r="J98" s="188"/>
      <c r="K98" s="188"/>
      <c r="L98" s="188"/>
      <c r="P98" s="278"/>
      <c r="Q98" s="278"/>
      <c r="R98" s="278"/>
      <c r="S98" s="278"/>
    </row>
    <row r="99" spans="5:19" s="241" customFormat="1" x14ac:dyDescent="0.2">
      <c r="E99" s="248"/>
      <c r="F99" s="280"/>
      <c r="G99" s="188"/>
      <c r="H99" s="188"/>
      <c r="I99" s="243"/>
      <c r="J99" s="188"/>
      <c r="K99" s="188"/>
      <c r="L99" s="188"/>
      <c r="P99" s="278"/>
      <c r="Q99" s="278"/>
      <c r="R99" s="278"/>
      <c r="S99" s="278"/>
    </row>
    <row r="100" spans="5:19" s="241" customFormat="1" x14ac:dyDescent="0.2">
      <c r="E100" s="248"/>
      <c r="F100" s="280"/>
      <c r="G100" s="188"/>
      <c r="H100" s="188"/>
      <c r="I100" s="243"/>
      <c r="J100" s="188"/>
      <c r="K100" s="188"/>
      <c r="L100" s="188"/>
      <c r="P100" s="278"/>
      <c r="Q100" s="278"/>
      <c r="R100" s="278"/>
      <c r="S100" s="278"/>
    </row>
    <row r="101" spans="5:19" s="241" customFormat="1" x14ac:dyDescent="0.2">
      <c r="E101" s="248"/>
      <c r="F101" s="280"/>
      <c r="G101" s="188"/>
      <c r="H101" s="188"/>
      <c r="I101" s="243"/>
      <c r="J101" s="188"/>
      <c r="K101" s="188"/>
      <c r="L101" s="188"/>
      <c r="P101" s="278"/>
      <c r="Q101" s="278"/>
      <c r="R101" s="278"/>
      <c r="S101" s="278"/>
    </row>
    <row r="102" spans="5:19" s="241" customFormat="1" x14ac:dyDescent="0.2">
      <c r="E102" s="248"/>
      <c r="F102" s="280"/>
      <c r="G102" s="188"/>
      <c r="H102" s="188"/>
      <c r="I102" s="243"/>
      <c r="J102" s="188"/>
      <c r="K102" s="188"/>
      <c r="L102" s="188"/>
      <c r="P102" s="278"/>
      <c r="Q102" s="278"/>
      <c r="R102" s="278"/>
      <c r="S102" s="278"/>
    </row>
    <row r="103" spans="5:19" s="241" customFormat="1" x14ac:dyDescent="0.2">
      <c r="E103" s="248"/>
      <c r="F103" s="280"/>
      <c r="G103" s="188"/>
      <c r="H103" s="188"/>
      <c r="I103" s="243"/>
      <c r="J103" s="188"/>
      <c r="K103" s="188"/>
      <c r="L103" s="188"/>
      <c r="P103" s="278"/>
      <c r="Q103" s="278"/>
      <c r="R103" s="278"/>
      <c r="S103" s="278"/>
    </row>
    <row r="104" spans="5:19" s="241" customFormat="1" x14ac:dyDescent="0.2">
      <c r="E104" s="248"/>
      <c r="F104" s="280"/>
      <c r="G104" s="188"/>
      <c r="H104" s="188"/>
      <c r="I104" s="243"/>
      <c r="J104" s="188"/>
      <c r="K104" s="188"/>
      <c r="L104" s="188"/>
      <c r="P104" s="278"/>
      <c r="Q104" s="278"/>
      <c r="R104" s="278"/>
      <c r="S104" s="278"/>
    </row>
    <row r="105" spans="5:19" s="241" customFormat="1" x14ac:dyDescent="0.2">
      <c r="E105" s="248"/>
      <c r="F105" s="280"/>
      <c r="G105" s="188"/>
      <c r="H105" s="188"/>
      <c r="I105" s="243"/>
      <c r="J105" s="188"/>
      <c r="K105" s="188"/>
      <c r="L105" s="188"/>
      <c r="P105" s="278"/>
      <c r="Q105" s="278"/>
      <c r="R105" s="278"/>
      <c r="S105" s="278"/>
    </row>
    <row r="106" spans="5:19" s="241" customFormat="1" x14ac:dyDescent="0.2">
      <c r="E106" s="248"/>
      <c r="F106" s="280"/>
      <c r="G106" s="188"/>
      <c r="H106" s="188"/>
      <c r="I106" s="243"/>
      <c r="J106" s="188"/>
      <c r="K106" s="188"/>
      <c r="L106" s="188"/>
      <c r="P106" s="278"/>
      <c r="Q106" s="278"/>
      <c r="R106" s="278"/>
      <c r="S106" s="278"/>
    </row>
    <row r="107" spans="5:19" s="241" customFormat="1" x14ac:dyDescent="0.2">
      <c r="E107" s="248"/>
      <c r="F107" s="280"/>
      <c r="G107" s="188"/>
      <c r="H107" s="188"/>
      <c r="I107" s="243"/>
      <c r="J107" s="188"/>
      <c r="K107" s="188"/>
      <c r="L107" s="188"/>
      <c r="P107" s="278"/>
      <c r="Q107" s="278"/>
      <c r="R107" s="278"/>
      <c r="S107" s="278"/>
    </row>
    <row r="108" spans="5:19" s="241" customFormat="1" x14ac:dyDescent="0.2">
      <c r="E108" s="248"/>
      <c r="F108" s="280"/>
      <c r="G108" s="188"/>
      <c r="H108" s="188"/>
      <c r="I108" s="243"/>
      <c r="J108" s="188"/>
      <c r="K108" s="188"/>
      <c r="L108" s="188"/>
      <c r="P108" s="278"/>
      <c r="Q108" s="278"/>
      <c r="R108" s="278"/>
      <c r="S108" s="278"/>
    </row>
    <row r="109" spans="5:19" s="241" customFormat="1" x14ac:dyDescent="0.2">
      <c r="E109" s="248"/>
      <c r="F109" s="280"/>
      <c r="G109" s="188"/>
      <c r="H109" s="188"/>
      <c r="I109" s="243"/>
      <c r="J109" s="188"/>
      <c r="K109" s="188"/>
      <c r="L109" s="188"/>
      <c r="P109" s="278"/>
      <c r="Q109" s="278"/>
      <c r="R109" s="278"/>
      <c r="S109" s="278"/>
    </row>
    <row r="110" spans="5:19" s="241" customFormat="1" x14ac:dyDescent="0.2">
      <c r="E110" s="248"/>
      <c r="F110" s="280"/>
      <c r="G110" s="188"/>
      <c r="H110" s="188"/>
      <c r="I110" s="243"/>
      <c r="J110" s="188"/>
      <c r="K110" s="188"/>
      <c r="L110" s="188"/>
      <c r="P110" s="278"/>
      <c r="Q110" s="278"/>
      <c r="R110" s="278"/>
      <c r="S110" s="278"/>
    </row>
    <row r="111" spans="5:19" s="241" customFormat="1" x14ac:dyDescent="0.2">
      <c r="E111" s="248"/>
      <c r="F111" s="280"/>
      <c r="G111" s="188"/>
      <c r="H111" s="188"/>
      <c r="I111" s="243"/>
      <c r="J111" s="188"/>
      <c r="K111" s="188"/>
      <c r="L111" s="188"/>
      <c r="P111" s="278"/>
      <c r="Q111" s="278"/>
      <c r="R111" s="278"/>
      <c r="S111" s="278"/>
    </row>
    <row r="112" spans="5:19" s="241" customFormat="1" x14ac:dyDescent="0.2">
      <c r="E112" s="248"/>
      <c r="F112" s="280"/>
      <c r="G112" s="188"/>
      <c r="H112" s="188"/>
      <c r="I112" s="243"/>
      <c r="J112" s="188"/>
      <c r="K112" s="188"/>
      <c r="L112" s="188"/>
      <c r="P112" s="278"/>
      <c r="Q112" s="278"/>
      <c r="R112" s="278"/>
      <c r="S112" s="278"/>
    </row>
    <row r="113" spans="5:19" s="241" customFormat="1" x14ac:dyDescent="0.2">
      <c r="E113" s="248"/>
      <c r="F113" s="280"/>
      <c r="G113" s="188"/>
      <c r="H113" s="188"/>
      <c r="I113" s="243"/>
      <c r="J113" s="188"/>
      <c r="K113" s="188"/>
      <c r="L113" s="188"/>
      <c r="P113" s="278"/>
      <c r="Q113" s="278"/>
      <c r="R113" s="278"/>
      <c r="S113" s="278"/>
    </row>
    <row r="114" spans="5:19" s="241" customFormat="1" x14ac:dyDescent="0.2">
      <c r="E114" s="248"/>
      <c r="F114" s="280"/>
      <c r="G114" s="188"/>
      <c r="H114" s="188"/>
      <c r="I114" s="243"/>
      <c r="J114" s="188"/>
      <c r="K114" s="188"/>
      <c r="L114" s="188"/>
      <c r="P114" s="278"/>
      <c r="Q114" s="278"/>
      <c r="R114" s="278"/>
      <c r="S114" s="278"/>
    </row>
    <row r="115" spans="5:19" s="241" customFormat="1" x14ac:dyDescent="0.2">
      <c r="E115" s="248"/>
      <c r="F115" s="280"/>
      <c r="G115" s="188"/>
      <c r="H115" s="188"/>
      <c r="I115" s="243"/>
      <c r="J115" s="188"/>
      <c r="K115" s="188"/>
      <c r="L115" s="188"/>
      <c r="P115" s="278"/>
      <c r="Q115" s="278"/>
      <c r="R115" s="278"/>
      <c r="S115" s="278"/>
    </row>
    <row r="116" spans="5:19" s="241" customFormat="1" x14ac:dyDescent="0.2">
      <c r="E116" s="248"/>
      <c r="F116" s="280"/>
      <c r="G116" s="188"/>
      <c r="H116" s="188"/>
      <c r="I116" s="243"/>
      <c r="J116" s="188"/>
      <c r="K116" s="188"/>
      <c r="L116" s="188"/>
      <c r="P116" s="278"/>
      <c r="Q116" s="278"/>
      <c r="R116" s="278"/>
      <c r="S116" s="278"/>
    </row>
    <row r="117" spans="5:19" s="241" customFormat="1" x14ac:dyDescent="0.2">
      <c r="E117" s="248"/>
      <c r="F117" s="280"/>
      <c r="G117" s="188"/>
      <c r="H117" s="188"/>
      <c r="I117" s="243"/>
      <c r="J117" s="188"/>
      <c r="K117" s="188"/>
      <c r="L117" s="188"/>
      <c r="P117" s="278"/>
      <c r="Q117" s="278"/>
      <c r="R117" s="278"/>
      <c r="S117" s="278"/>
    </row>
    <row r="118" spans="5:19" s="241" customFormat="1" x14ac:dyDescent="0.2">
      <c r="E118" s="248"/>
      <c r="F118" s="280"/>
      <c r="G118" s="188"/>
      <c r="H118" s="188"/>
      <c r="I118" s="243"/>
      <c r="J118" s="188"/>
      <c r="K118" s="188"/>
      <c r="L118" s="188"/>
      <c r="P118" s="278"/>
      <c r="Q118" s="278"/>
      <c r="R118" s="278"/>
      <c r="S118" s="278"/>
    </row>
    <row r="119" spans="5:19" s="241" customFormat="1" x14ac:dyDescent="0.2">
      <c r="E119" s="248"/>
      <c r="F119" s="280"/>
      <c r="G119" s="188"/>
      <c r="H119" s="188"/>
      <c r="I119" s="243"/>
      <c r="J119" s="188"/>
      <c r="K119" s="188"/>
      <c r="L119" s="188"/>
      <c r="P119" s="278"/>
      <c r="Q119" s="278"/>
      <c r="R119" s="278"/>
      <c r="S119" s="278"/>
    </row>
    <row r="120" spans="5:19" s="241" customFormat="1" x14ac:dyDescent="0.2">
      <c r="E120" s="248"/>
      <c r="F120" s="280"/>
      <c r="G120" s="188"/>
      <c r="H120" s="188"/>
      <c r="I120" s="243"/>
      <c r="J120" s="188"/>
      <c r="K120" s="188"/>
      <c r="L120" s="188"/>
      <c r="P120" s="278"/>
      <c r="Q120" s="278"/>
      <c r="R120" s="278"/>
      <c r="S120" s="278"/>
    </row>
    <row r="121" spans="5:19" s="241" customFormat="1" x14ac:dyDescent="0.2">
      <c r="E121" s="248"/>
      <c r="F121" s="280"/>
      <c r="G121" s="188"/>
      <c r="H121" s="188"/>
      <c r="I121" s="243"/>
      <c r="J121" s="188"/>
      <c r="K121" s="188"/>
      <c r="L121" s="188"/>
      <c r="P121" s="278"/>
      <c r="Q121" s="278"/>
      <c r="R121" s="278"/>
      <c r="S121" s="278"/>
    </row>
    <row r="122" spans="5:19" s="241" customFormat="1" x14ac:dyDescent="0.2">
      <c r="E122" s="248"/>
      <c r="F122" s="280"/>
      <c r="G122" s="188"/>
      <c r="H122" s="188"/>
      <c r="I122" s="243"/>
      <c r="J122" s="188"/>
      <c r="K122" s="188"/>
      <c r="L122" s="188"/>
      <c r="P122" s="278"/>
      <c r="Q122" s="278"/>
      <c r="R122" s="278"/>
      <c r="S122" s="278"/>
    </row>
    <row r="123" spans="5:19" s="241" customFormat="1" x14ac:dyDescent="0.2">
      <c r="E123" s="248"/>
      <c r="F123" s="280"/>
      <c r="G123" s="188"/>
      <c r="H123" s="188"/>
      <c r="I123" s="243"/>
      <c r="J123" s="188"/>
      <c r="K123" s="188"/>
      <c r="L123" s="188"/>
      <c r="P123" s="278"/>
      <c r="Q123" s="278"/>
      <c r="R123" s="278"/>
      <c r="S123" s="278"/>
    </row>
    <row r="124" spans="5:19" s="241" customFormat="1" x14ac:dyDescent="0.2">
      <c r="E124" s="248"/>
      <c r="F124" s="280"/>
      <c r="G124" s="188"/>
      <c r="H124" s="188"/>
      <c r="I124" s="243"/>
      <c r="J124" s="188"/>
      <c r="K124" s="188"/>
      <c r="L124" s="188"/>
      <c r="P124" s="278"/>
      <c r="Q124" s="278"/>
      <c r="R124" s="278"/>
      <c r="S124" s="278"/>
    </row>
    <row r="125" spans="5:19" s="241" customFormat="1" x14ac:dyDescent="0.2">
      <c r="E125" s="248"/>
      <c r="F125" s="280"/>
      <c r="G125" s="188"/>
      <c r="H125" s="188"/>
      <c r="I125" s="243"/>
      <c r="J125" s="188"/>
      <c r="K125" s="188"/>
      <c r="L125" s="188"/>
      <c r="P125" s="278"/>
      <c r="Q125" s="278"/>
      <c r="R125" s="278"/>
      <c r="S125" s="278"/>
    </row>
    <row r="126" spans="5:19" s="241" customFormat="1" x14ac:dyDescent="0.2">
      <c r="E126" s="248"/>
      <c r="F126" s="280"/>
      <c r="G126" s="188"/>
      <c r="H126" s="188"/>
      <c r="I126" s="243"/>
      <c r="J126" s="188"/>
      <c r="K126" s="188"/>
      <c r="L126" s="188"/>
      <c r="P126" s="278"/>
      <c r="Q126" s="278"/>
      <c r="R126" s="278"/>
      <c r="S126" s="278"/>
    </row>
    <row r="127" spans="5:19" s="241" customFormat="1" x14ac:dyDescent="0.2">
      <c r="E127" s="248"/>
      <c r="F127" s="280"/>
      <c r="G127" s="188"/>
      <c r="H127" s="188"/>
      <c r="I127" s="243"/>
      <c r="J127" s="188"/>
      <c r="K127" s="188"/>
      <c r="L127" s="188"/>
      <c r="P127" s="278"/>
      <c r="Q127" s="278"/>
      <c r="R127" s="278"/>
      <c r="S127" s="278"/>
    </row>
    <row r="128" spans="5:19" s="241" customFormat="1" x14ac:dyDescent="0.2">
      <c r="E128" s="248"/>
      <c r="F128" s="280"/>
      <c r="G128" s="188"/>
      <c r="H128" s="188"/>
      <c r="I128" s="243"/>
      <c r="J128" s="188"/>
      <c r="K128" s="188"/>
      <c r="L128" s="188"/>
      <c r="P128" s="278"/>
      <c r="Q128" s="278"/>
      <c r="R128" s="278"/>
      <c r="S128" s="278"/>
    </row>
    <row r="129" spans="1:22" s="241" customFormat="1" x14ac:dyDescent="0.2">
      <c r="E129" s="248"/>
      <c r="F129" s="280"/>
      <c r="G129" s="188"/>
      <c r="H129" s="188"/>
      <c r="I129" s="243"/>
      <c r="J129" s="188"/>
      <c r="K129" s="188"/>
      <c r="L129" s="188"/>
      <c r="P129" s="278"/>
      <c r="Q129" s="278"/>
      <c r="R129" s="278"/>
      <c r="S129" s="278"/>
    </row>
    <row r="130" spans="1:22" s="241" customFormat="1" x14ac:dyDescent="0.2">
      <c r="E130" s="248"/>
      <c r="F130" s="280"/>
      <c r="G130" s="188"/>
      <c r="H130" s="188"/>
      <c r="I130" s="243"/>
      <c r="J130" s="188"/>
      <c r="K130" s="188"/>
      <c r="L130" s="188"/>
      <c r="P130" s="278"/>
      <c r="Q130" s="278"/>
      <c r="R130" s="244"/>
      <c r="S130" s="244"/>
      <c r="T130" s="188"/>
      <c r="U130" s="188"/>
      <c r="V130" s="188"/>
    </row>
    <row r="131" spans="1:22" s="241" customFormat="1" x14ac:dyDescent="0.2">
      <c r="E131" s="248"/>
      <c r="F131" s="280"/>
      <c r="G131" s="188"/>
      <c r="H131" s="188"/>
      <c r="I131" s="243"/>
      <c r="J131" s="188"/>
      <c r="K131" s="188"/>
      <c r="L131" s="188"/>
      <c r="P131" s="278"/>
      <c r="Q131" s="278"/>
      <c r="R131" s="244"/>
      <c r="S131" s="244"/>
      <c r="T131" s="188"/>
      <c r="U131" s="188"/>
      <c r="V131" s="188"/>
    </row>
    <row r="132" spans="1:22" s="241" customFormat="1" x14ac:dyDescent="0.2">
      <c r="E132" s="248"/>
      <c r="F132" s="280"/>
      <c r="G132" s="188"/>
      <c r="H132" s="188"/>
      <c r="I132" s="243"/>
      <c r="J132" s="188"/>
      <c r="K132" s="188"/>
      <c r="L132" s="188"/>
      <c r="P132" s="278"/>
      <c r="Q132" s="278"/>
      <c r="R132" s="244"/>
      <c r="S132" s="244"/>
      <c r="T132" s="188"/>
      <c r="U132" s="188"/>
      <c r="V132" s="188"/>
    </row>
    <row r="133" spans="1:22" s="241" customFormat="1" x14ac:dyDescent="0.2">
      <c r="E133" s="248"/>
      <c r="F133" s="280"/>
      <c r="G133" s="188"/>
      <c r="H133" s="188"/>
      <c r="I133" s="243"/>
      <c r="J133" s="188"/>
      <c r="K133" s="188"/>
      <c r="L133" s="188"/>
      <c r="P133" s="278"/>
      <c r="Q133" s="278"/>
      <c r="R133" s="244"/>
      <c r="S133" s="244"/>
      <c r="T133" s="188"/>
      <c r="U133" s="188"/>
      <c r="V133" s="188"/>
    </row>
    <row r="134" spans="1:22" s="241" customFormat="1" x14ac:dyDescent="0.2">
      <c r="E134" s="248"/>
      <c r="F134" s="280"/>
      <c r="G134" s="188"/>
      <c r="H134" s="188"/>
      <c r="I134" s="243"/>
      <c r="J134" s="188"/>
      <c r="K134" s="188"/>
      <c r="L134" s="188"/>
      <c r="P134" s="278"/>
      <c r="Q134" s="278"/>
      <c r="R134" s="244"/>
      <c r="S134" s="244"/>
      <c r="T134" s="188"/>
      <c r="U134" s="188"/>
      <c r="V134" s="188"/>
    </row>
    <row r="135" spans="1:22" s="241" customFormat="1" x14ac:dyDescent="0.2">
      <c r="E135" s="248"/>
      <c r="F135" s="280"/>
      <c r="G135" s="188"/>
      <c r="H135" s="188"/>
      <c r="I135" s="243"/>
      <c r="J135" s="188"/>
      <c r="K135" s="188"/>
      <c r="L135" s="188"/>
      <c r="N135" s="188"/>
      <c r="O135" s="243"/>
      <c r="P135" s="289"/>
      <c r="Q135" s="244"/>
      <c r="R135" s="244"/>
      <c r="S135" s="244"/>
      <c r="T135" s="188"/>
      <c r="U135" s="188"/>
      <c r="V135" s="188"/>
    </row>
    <row r="136" spans="1:22" s="241" customFormat="1" x14ac:dyDescent="0.2">
      <c r="E136" s="248"/>
      <c r="F136" s="280"/>
      <c r="G136" s="188"/>
      <c r="H136" s="188"/>
      <c r="I136" s="243"/>
      <c r="J136" s="188"/>
      <c r="K136" s="188"/>
      <c r="L136" s="188"/>
      <c r="N136" s="188"/>
      <c r="O136" s="243"/>
      <c r="P136" s="289"/>
      <c r="Q136" s="244"/>
      <c r="R136" s="244"/>
      <c r="S136" s="244"/>
      <c r="T136" s="188"/>
      <c r="U136" s="188"/>
      <c r="V136" s="188"/>
    </row>
    <row r="137" spans="1:22" s="241" customFormat="1" x14ac:dyDescent="0.2">
      <c r="E137" s="248"/>
      <c r="F137" s="280"/>
      <c r="G137" s="188"/>
      <c r="H137" s="188"/>
      <c r="I137" s="243"/>
      <c r="J137" s="188"/>
      <c r="K137" s="188"/>
      <c r="L137" s="188"/>
      <c r="N137" s="188"/>
      <c r="O137" s="243"/>
      <c r="P137" s="289"/>
      <c r="Q137" s="244"/>
      <c r="R137" s="244"/>
      <c r="S137" s="244"/>
      <c r="T137" s="188"/>
      <c r="U137" s="188"/>
      <c r="V137" s="188"/>
    </row>
    <row r="138" spans="1:22" s="241" customFormat="1" x14ac:dyDescent="0.2">
      <c r="E138" s="248"/>
      <c r="F138" s="280"/>
      <c r="G138" s="188"/>
      <c r="H138" s="188"/>
      <c r="I138" s="243"/>
      <c r="J138" s="188"/>
      <c r="K138" s="188"/>
      <c r="L138" s="188"/>
      <c r="N138" s="188"/>
      <c r="O138" s="243"/>
      <c r="P138" s="289"/>
      <c r="Q138" s="244"/>
      <c r="R138" s="244"/>
      <c r="S138" s="244"/>
      <c r="T138" s="188"/>
      <c r="U138" s="188"/>
      <c r="V138" s="188"/>
    </row>
    <row r="139" spans="1:22" s="241" customFormat="1" x14ac:dyDescent="0.2">
      <c r="A139" s="188"/>
      <c r="B139" s="188"/>
      <c r="C139" s="290"/>
      <c r="D139" s="290"/>
      <c r="E139" s="290"/>
      <c r="F139" s="290"/>
      <c r="H139" s="278"/>
      <c r="J139" s="188"/>
      <c r="K139" s="188"/>
      <c r="L139" s="188"/>
      <c r="N139" s="188"/>
      <c r="O139" s="243"/>
      <c r="P139" s="289"/>
      <c r="Q139" s="244"/>
      <c r="R139" s="244"/>
      <c r="S139" s="244"/>
      <c r="T139" s="188"/>
      <c r="U139" s="188"/>
      <c r="V139" s="188"/>
    </row>
    <row r="140" spans="1:22" s="241" customFormat="1" x14ac:dyDescent="0.2">
      <c r="A140" s="188"/>
      <c r="B140" s="188"/>
      <c r="C140" s="290"/>
      <c r="D140" s="290"/>
      <c r="E140" s="290"/>
      <c r="F140" s="290"/>
      <c r="H140" s="278"/>
      <c r="J140" s="188"/>
      <c r="K140" s="188"/>
      <c r="L140" s="188"/>
      <c r="N140" s="188"/>
      <c r="O140" s="243"/>
      <c r="P140" s="289"/>
      <c r="Q140" s="244"/>
      <c r="R140" s="244"/>
      <c r="S140" s="244"/>
      <c r="T140" s="188"/>
      <c r="U140" s="188"/>
      <c r="V140" s="188"/>
    </row>
    <row r="141" spans="1:22" s="241" customFormat="1" x14ac:dyDescent="0.2">
      <c r="A141" s="188"/>
      <c r="B141" s="188"/>
      <c r="C141" s="290"/>
      <c r="D141" s="290"/>
      <c r="E141" s="290"/>
      <c r="F141" s="290"/>
      <c r="H141" s="278"/>
      <c r="J141" s="188"/>
      <c r="K141" s="188"/>
      <c r="L141" s="188"/>
      <c r="N141" s="188"/>
      <c r="O141" s="243"/>
      <c r="P141" s="289"/>
      <c r="Q141" s="244"/>
      <c r="R141" s="244"/>
      <c r="S141" s="244"/>
      <c r="T141" s="188"/>
      <c r="U141" s="188"/>
      <c r="V141" s="188"/>
    </row>
    <row r="142" spans="1:22" s="241" customFormat="1" x14ac:dyDescent="0.2">
      <c r="A142" s="188"/>
      <c r="B142" s="188"/>
      <c r="C142" s="290"/>
      <c r="D142" s="290"/>
      <c r="E142" s="290"/>
      <c r="F142" s="290"/>
      <c r="H142" s="278"/>
      <c r="J142" s="188"/>
      <c r="K142" s="188"/>
      <c r="L142" s="188"/>
      <c r="N142" s="188"/>
      <c r="O142" s="243"/>
      <c r="P142" s="289"/>
      <c r="Q142" s="244"/>
      <c r="R142" s="244"/>
      <c r="S142" s="244"/>
      <c r="T142" s="188"/>
      <c r="U142" s="188"/>
      <c r="V142" s="188"/>
    </row>
    <row r="143" spans="1:22" s="241" customFormat="1" x14ac:dyDescent="0.2">
      <c r="A143" s="188"/>
      <c r="B143" s="188"/>
      <c r="C143" s="290"/>
      <c r="D143" s="290"/>
      <c r="E143" s="290"/>
      <c r="F143" s="290"/>
      <c r="H143" s="278"/>
      <c r="J143" s="188"/>
      <c r="K143" s="188"/>
      <c r="L143" s="188"/>
      <c r="N143" s="188"/>
      <c r="O143" s="243"/>
      <c r="P143" s="289"/>
      <c r="Q143" s="244"/>
      <c r="R143" s="244"/>
      <c r="S143" s="244"/>
      <c r="T143" s="188"/>
      <c r="U143" s="188"/>
      <c r="V143" s="188"/>
    </row>
    <row r="144" spans="1:22" s="241" customFormat="1" x14ac:dyDescent="0.2">
      <c r="A144" s="188"/>
      <c r="B144" s="188"/>
      <c r="C144" s="290"/>
      <c r="D144" s="290"/>
      <c r="E144" s="290"/>
      <c r="F144" s="290"/>
      <c r="H144" s="278"/>
      <c r="J144" s="188"/>
      <c r="K144" s="188"/>
      <c r="L144" s="188"/>
      <c r="N144" s="188"/>
      <c r="O144" s="243"/>
      <c r="P144" s="289"/>
      <c r="Q144" s="244"/>
      <c r="R144" s="244"/>
      <c r="S144" s="244"/>
      <c r="T144" s="188"/>
      <c r="U144" s="188"/>
      <c r="V144" s="188"/>
    </row>
    <row r="145" spans="1:22" s="241" customFormat="1" x14ac:dyDescent="0.2">
      <c r="A145" s="188"/>
      <c r="B145" s="188"/>
      <c r="C145" s="290"/>
      <c r="D145" s="290"/>
      <c r="E145" s="290"/>
      <c r="F145" s="290"/>
      <c r="H145" s="278"/>
      <c r="K145" s="188"/>
      <c r="L145" s="188"/>
      <c r="N145" s="188"/>
      <c r="O145" s="243"/>
      <c r="P145" s="289"/>
      <c r="Q145" s="244"/>
      <c r="R145" s="244"/>
      <c r="S145" s="244"/>
      <c r="T145" s="188"/>
      <c r="U145" s="188"/>
      <c r="V145" s="188"/>
    </row>
    <row r="146" spans="1:22" s="241" customFormat="1" x14ac:dyDescent="0.2">
      <c r="A146" s="188"/>
      <c r="B146" s="188"/>
      <c r="C146" s="290"/>
      <c r="D146" s="290"/>
      <c r="E146" s="290"/>
      <c r="F146" s="290"/>
      <c r="H146" s="278"/>
      <c r="K146" s="188"/>
      <c r="L146" s="188"/>
      <c r="N146" s="188"/>
      <c r="O146" s="243"/>
      <c r="P146" s="289"/>
      <c r="Q146" s="244"/>
      <c r="R146" s="244"/>
      <c r="S146" s="244"/>
      <c r="T146" s="188"/>
      <c r="U146" s="188"/>
      <c r="V146" s="188"/>
    </row>
    <row r="147" spans="1:22" x14ac:dyDescent="0.2">
      <c r="K147" s="188"/>
      <c r="L147" s="188"/>
      <c r="M147" s="241"/>
    </row>
    <row r="148" spans="1:22" x14ac:dyDescent="0.2">
      <c r="L148" s="188"/>
      <c r="M148" s="241"/>
    </row>
    <row r="149" spans="1:22" x14ac:dyDescent="0.2">
      <c r="L149" s="188"/>
      <c r="M149" s="241"/>
    </row>
    <row r="150" spans="1:22" x14ac:dyDescent="0.2">
      <c r="L150" s="188"/>
    </row>
    <row r="151" spans="1:22" x14ac:dyDescent="0.2">
      <c r="L151" s="188"/>
    </row>
    <row r="152" spans="1:22" x14ac:dyDescent="0.2">
      <c r="L152" s="188"/>
    </row>
  </sheetData>
  <conditionalFormatting sqref="P44:P57 Z44:Z57 B20:B43">
    <cfRule type="aboveAverage" dxfId="17" priority="5" aboveAverage="0" stdDev="1"/>
    <cfRule type="aboveAverage" dxfId="16" priority="6" stdDev="1"/>
  </conditionalFormatting>
  <conditionalFormatting sqref="C35">
    <cfRule type="aboveAverage" dxfId="15" priority="1" aboveAverage="0" stdDev="1"/>
    <cfRule type="aboveAverage" dxfId="14" priority="2" stdDev="1"/>
  </conditionalFormatting>
  <conditionalFormatting sqref="P6:P10 Z6:Z10">
    <cfRule type="aboveAverage" dxfId="13" priority="7" aboveAverage="0" stdDev="1"/>
    <cfRule type="aboveAverage" dxfId="12" priority="8" stdDev="1"/>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3B1A0-B980-42EF-8367-E5EC315B3D6C}">
  <dimension ref="A1:Z153"/>
  <sheetViews>
    <sheetView workbookViewId="0">
      <selection activeCell="O12" sqref="O12"/>
    </sheetView>
  </sheetViews>
  <sheetFormatPr defaultColWidth="7.85546875" defaultRowHeight="11.25" x14ac:dyDescent="0.2"/>
  <cols>
    <col min="1" max="1" width="22.7109375" style="188" customWidth="1"/>
    <col min="2" max="2" width="22" style="188" customWidth="1"/>
    <col min="3" max="3" width="15.42578125" style="290" customWidth="1"/>
    <col min="4" max="4" width="14.28515625" style="290" customWidth="1"/>
    <col min="5" max="5" width="11.85546875" style="290" customWidth="1"/>
    <col min="6" max="6" width="18.28515625" style="290" customWidth="1"/>
    <col min="7" max="7" width="13.7109375" style="241" customWidth="1"/>
    <col min="8" max="8" width="18.7109375" style="278" customWidth="1"/>
    <col min="9" max="9" width="10.7109375" style="241" customWidth="1"/>
    <col min="10" max="10" width="8.5703125" style="241" customWidth="1"/>
    <col min="11" max="11" width="13.5703125" style="248" customWidth="1"/>
    <col min="12" max="12" width="11.42578125" style="280" customWidth="1"/>
    <col min="13" max="13" width="10.28515625" style="188" customWidth="1"/>
    <col min="14" max="14" width="5.7109375" style="188" bestFit="1" customWidth="1"/>
    <col min="15" max="15" width="16.5703125" style="243" customWidth="1"/>
    <col min="16" max="16" width="5.85546875" style="289" bestFit="1" customWidth="1"/>
    <col min="17" max="17" width="14" style="244" bestFit="1" customWidth="1"/>
    <col min="18" max="18" width="6" style="244" bestFit="1" customWidth="1"/>
    <col min="19" max="19" width="8.7109375" style="244" bestFit="1" customWidth="1"/>
    <col min="20" max="21" width="17.28515625" style="188" bestFit="1" customWidth="1"/>
    <col min="22" max="22" width="9.28515625" style="188" bestFit="1" customWidth="1"/>
    <col min="23" max="27" width="5.28515625" style="188" customWidth="1"/>
    <col min="28" max="28" width="17" style="188" customWidth="1"/>
    <col min="29" max="16384" width="7.85546875" style="188"/>
  </cols>
  <sheetData>
    <row r="1" spans="1:24" s="218" customFormat="1" ht="12.75" x14ac:dyDescent="0.2">
      <c r="A1" s="210" t="s">
        <v>81</v>
      </c>
      <c r="B1" s="211" t="s">
        <v>82</v>
      </c>
      <c r="C1" s="212"/>
      <c r="D1" s="211"/>
      <c r="E1" s="213"/>
      <c r="F1" s="213"/>
      <c r="G1" s="214"/>
      <c r="H1" s="215" t="s">
        <v>83</v>
      </c>
      <c r="I1" s="216">
        <f>MAX(A12:A14)*2.54/100</f>
        <v>2.0499999999999998</v>
      </c>
      <c r="J1" s="217" t="s">
        <v>84</v>
      </c>
      <c r="K1" s="211"/>
      <c r="L1" s="211"/>
      <c r="N1" s="219"/>
      <c r="P1" s="220"/>
      <c r="Q1" s="220"/>
      <c r="R1" s="220"/>
      <c r="S1" s="220"/>
    </row>
    <row r="2" spans="1:24" s="218" customFormat="1" ht="12.75" x14ac:dyDescent="0.2">
      <c r="A2" s="221" t="s">
        <v>85</v>
      </c>
      <c r="B2" s="211" t="s">
        <v>115</v>
      </c>
      <c r="C2" s="222"/>
      <c r="D2" s="211"/>
      <c r="E2" s="223"/>
      <c r="F2" s="223"/>
      <c r="G2" s="224"/>
      <c r="H2" s="225" t="s">
        <v>86</v>
      </c>
      <c r="I2" s="226">
        <f>I12/100</f>
        <v>2.09</v>
      </c>
      <c r="J2" s="227" t="s">
        <v>87</v>
      </c>
      <c r="K2" s="211"/>
      <c r="L2" s="211"/>
      <c r="N2" s="228"/>
      <c r="P2" s="220"/>
      <c r="Q2" s="220"/>
      <c r="R2" s="220"/>
      <c r="S2" s="220"/>
    </row>
    <row r="3" spans="1:24" s="231" customFormat="1" ht="11.25" customHeight="1" x14ac:dyDescent="0.2">
      <c r="A3" s="229" t="s">
        <v>88</v>
      </c>
      <c r="B3" s="230" t="s">
        <v>122</v>
      </c>
      <c r="C3" s="222"/>
      <c r="D3" s="223"/>
      <c r="E3" s="223"/>
      <c r="F3" s="223"/>
      <c r="G3" s="224"/>
      <c r="H3" s="229" t="s">
        <v>89</v>
      </c>
      <c r="I3" s="226">
        <f>AVERAGE(I12:I21)/100</f>
        <v>2.1080000000000001</v>
      </c>
      <c r="J3" s="227"/>
      <c r="K3" s="211"/>
      <c r="L3" s="211"/>
      <c r="N3" s="232"/>
      <c r="P3" s="233"/>
      <c r="Q3" s="233"/>
      <c r="R3" s="233"/>
      <c r="S3" s="233"/>
    </row>
    <row r="4" spans="1:24" s="218" customFormat="1" ht="12.75" x14ac:dyDescent="0.2">
      <c r="A4" s="229" t="s">
        <v>90</v>
      </c>
      <c r="B4" s="234" t="s">
        <v>123</v>
      </c>
      <c r="C4" s="222"/>
      <c r="D4" s="223"/>
      <c r="E4" s="223"/>
      <c r="F4" s="223"/>
      <c r="G4" s="224"/>
      <c r="H4" s="229" t="s">
        <v>91</v>
      </c>
      <c r="I4" s="226">
        <f>AVERAGE(E12:E14)</f>
        <v>0.4371058150336658</v>
      </c>
      <c r="J4" s="227"/>
      <c r="K4" s="211"/>
      <c r="L4" s="211"/>
      <c r="M4" s="219"/>
      <c r="N4" s="219"/>
      <c r="P4" s="220"/>
      <c r="Q4" s="220"/>
      <c r="R4" s="220"/>
      <c r="S4" s="220"/>
    </row>
    <row r="5" spans="1:24" s="239" customFormat="1" ht="12.75" x14ac:dyDescent="0.2">
      <c r="A5" s="221" t="s">
        <v>92</v>
      </c>
      <c r="B5" s="235" t="s">
        <v>93</v>
      </c>
      <c r="C5" s="222"/>
      <c r="D5" s="223"/>
      <c r="E5" s="223"/>
      <c r="F5" s="236"/>
      <c r="G5" s="236"/>
      <c r="H5" s="229"/>
      <c r="I5" s="237"/>
      <c r="J5" s="227"/>
      <c r="K5" s="211"/>
      <c r="L5" s="211"/>
      <c r="M5" s="238"/>
      <c r="N5" s="238"/>
      <c r="P5" s="240"/>
      <c r="Q5" s="240"/>
      <c r="R5" s="240"/>
      <c r="S5" s="240"/>
    </row>
    <row r="6" spans="1:24" x14ac:dyDescent="0.2">
      <c r="A6" s="241"/>
      <c r="B6" s="241"/>
      <c r="C6" s="241"/>
      <c r="D6" s="241"/>
      <c r="E6" s="242"/>
      <c r="F6" s="238"/>
      <c r="G6" s="238"/>
      <c r="H6" s="243"/>
      <c r="I6" s="243"/>
      <c r="J6" s="188"/>
      <c r="K6" s="188"/>
      <c r="L6" s="243"/>
      <c r="M6" s="243"/>
      <c r="O6" s="188"/>
      <c r="P6" s="244"/>
    </row>
    <row r="7" spans="1:24" x14ac:dyDescent="0.2">
      <c r="A7" s="241"/>
      <c r="B7" s="241"/>
      <c r="C7" s="241"/>
      <c r="D7" s="241"/>
      <c r="E7" s="242"/>
      <c r="F7" s="245"/>
      <c r="G7" s="246"/>
      <c r="H7" s="243"/>
      <c r="I7" s="243"/>
      <c r="J7" s="188"/>
      <c r="K7" s="188"/>
      <c r="L7" s="243"/>
      <c r="M7" s="243"/>
      <c r="O7" s="188"/>
      <c r="P7" s="244"/>
    </row>
    <row r="8" spans="1:24" ht="12" thickBot="1" x14ac:dyDescent="0.25">
      <c r="A8" s="241"/>
      <c r="B8" s="241"/>
      <c r="C8" s="247"/>
      <c r="D8" s="247"/>
      <c r="E8" s="248"/>
      <c r="F8" s="188"/>
      <c r="G8" s="188"/>
      <c r="H8" s="218" t="s">
        <v>94</v>
      </c>
      <c r="I8" s="243"/>
      <c r="J8" s="188"/>
      <c r="K8" s="218" t="s">
        <v>95</v>
      </c>
      <c r="L8" s="243"/>
      <c r="M8" s="243"/>
      <c r="O8" s="219" t="s">
        <v>96</v>
      </c>
      <c r="P8" s="244"/>
    </row>
    <row r="9" spans="1:24" x14ac:dyDescent="0.2">
      <c r="A9" s="249"/>
      <c r="B9" s="250"/>
      <c r="C9" s="243"/>
      <c r="D9" s="243"/>
      <c r="E9" s="250"/>
      <c r="F9" s="250"/>
      <c r="G9" s="251"/>
      <c r="H9" s="249"/>
      <c r="I9" s="252"/>
      <c r="J9" s="251"/>
      <c r="K9" s="253"/>
      <c r="L9" s="254"/>
      <c r="M9" s="255"/>
      <c r="P9" s="244"/>
      <c r="W9" s="243"/>
      <c r="X9" s="243"/>
    </row>
    <row r="10" spans="1:24" x14ac:dyDescent="0.2">
      <c r="A10" s="256" t="s">
        <v>97</v>
      </c>
      <c r="B10" s="245" t="s">
        <v>98</v>
      </c>
      <c r="C10" s="257" t="s">
        <v>99</v>
      </c>
      <c r="D10" s="258" t="s">
        <v>100</v>
      </c>
      <c r="E10" s="245" t="s">
        <v>31</v>
      </c>
      <c r="F10" s="259" t="s">
        <v>74</v>
      </c>
      <c r="G10" s="251"/>
      <c r="H10" s="245" t="s">
        <v>101</v>
      </c>
      <c r="I10" s="260" t="s">
        <v>102</v>
      </c>
      <c r="J10" s="188"/>
      <c r="K10" s="261" t="s">
        <v>103</v>
      </c>
      <c r="L10" s="228" t="s">
        <v>104</v>
      </c>
      <c r="M10" s="262" t="s">
        <v>105</v>
      </c>
      <c r="O10" s="218" t="s">
        <v>106</v>
      </c>
      <c r="P10" s="244"/>
      <c r="W10" s="263"/>
    </row>
    <row r="11" spans="1:24" ht="12" thickBot="1" x14ac:dyDescent="0.25">
      <c r="A11" s="264" t="s">
        <v>107</v>
      </c>
      <c r="B11" s="265" t="s">
        <v>107</v>
      </c>
      <c r="C11" s="266" t="s">
        <v>108</v>
      </c>
      <c r="D11" s="267" t="s">
        <v>108</v>
      </c>
      <c r="E11" s="268" t="s">
        <v>76</v>
      </c>
      <c r="F11" s="269"/>
      <c r="G11" s="251"/>
      <c r="H11" s="270"/>
      <c r="I11" s="271" t="s">
        <v>109</v>
      </c>
      <c r="J11" s="188"/>
      <c r="K11" s="272"/>
      <c r="L11" s="273"/>
      <c r="M11" s="274" t="s">
        <v>110</v>
      </c>
      <c r="O11" s="188" t="s">
        <v>111</v>
      </c>
      <c r="P11" s="244"/>
      <c r="W11" s="243"/>
    </row>
    <row r="12" spans="1:24" ht="15" x14ac:dyDescent="0.25">
      <c r="A12" s="292">
        <f>205/2.54</f>
        <v>80.70866141732283</v>
      </c>
      <c r="B12" s="292" t="s">
        <v>124</v>
      </c>
      <c r="C12" s="275">
        <v>40</v>
      </c>
      <c r="D12" s="275">
        <v>0</v>
      </c>
      <c r="E12" s="276">
        <f>C12/A12</f>
        <v>0.49560975609756103</v>
      </c>
      <c r="F12" s="188"/>
      <c r="G12" s="188"/>
      <c r="H12" s="188" t="s">
        <v>125</v>
      </c>
      <c r="I12" s="188">
        <v>209</v>
      </c>
      <c r="J12" s="188"/>
      <c r="K12" s="315">
        <v>10304748</v>
      </c>
      <c r="L12" s="188" t="s">
        <v>128</v>
      </c>
      <c r="M12" s="277" t="s">
        <v>133</v>
      </c>
      <c r="O12" s="244">
        <f>I1/I3</f>
        <v>0.97248576850094859</v>
      </c>
      <c r="P12" s="244"/>
    </row>
    <row r="13" spans="1:24" ht="45.75" x14ac:dyDescent="0.25">
      <c r="A13" s="292">
        <f>194/2.54</f>
        <v>76.377952755905511</v>
      </c>
      <c r="B13" s="292" t="s">
        <v>124</v>
      </c>
      <c r="C13" s="278">
        <v>33</v>
      </c>
      <c r="D13" s="290">
        <v>0</v>
      </c>
      <c r="E13" s="279">
        <f t="shared" ref="E13:E14" si="0">C13/A13</f>
        <v>0.43206185567010308</v>
      </c>
      <c r="F13" s="188"/>
      <c r="G13" s="188"/>
      <c r="H13" s="188" t="s">
        <v>126</v>
      </c>
      <c r="I13" s="188">
        <v>218</v>
      </c>
      <c r="J13" s="188"/>
      <c r="K13" s="315">
        <v>10414774</v>
      </c>
      <c r="L13" s="316" t="s">
        <v>129</v>
      </c>
      <c r="M13" s="277" t="s">
        <v>133</v>
      </c>
      <c r="O13" s="188"/>
      <c r="P13" s="244"/>
    </row>
    <row r="14" spans="1:24" ht="34.5" x14ac:dyDescent="0.25">
      <c r="A14" s="292">
        <f>192/2.54</f>
        <v>75.590551181102356</v>
      </c>
      <c r="B14" s="292" t="s">
        <v>124</v>
      </c>
      <c r="C14" s="278">
        <v>29</v>
      </c>
      <c r="D14" s="290">
        <v>0</v>
      </c>
      <c r="E14" s="279">
        <f t="shared" si="0"/>
        <v>0.38364583333333335</v>
      </c>
      <c r="F14" s="280"/>
      <c r="G14" s="188"/>
      <c r="H14" s="188" t="s">
        <v>126</v>
      </c>
      <c r="I14" s="188">
        <v>205</v>
      </c>
      <c r="J14" s="188"/>
      <c r="K14" s="315">
        <v>10414781</v>
      </c>
      <c r="L14" s="316" t="s">
        <v>130</v>
      </c>
      <c r="M14" s="277" t="s">
        <v>133</v>
      </c>
      <c r="O14" s="188"/>
      <c r="P14" s="244"/>
    </row>
    <row r="15" spans="1:24" ht="34.5" x14ac:dyDescent="0.25">
      <c r="A15" s="291"/>
      <c r="B15" s="291"/>
      <c r="C15" s="241"/>
      <c r="D15" s="241"/>
      <c r="E15" s="248"/>
      <c r="F15" s="280"/>
      <c r="G15" s="188"/>
      <c r="H15" s="188" t="s">
        <v>126</v>
      </c>
      <c r="I15" s="188">
        <v>222</v>
      </c>
      <c r="J15" s="188"/>
      <c r="K15" s="315">
        <v>10414777</v>
      </c>
      <c r="L15" s="316" t="s">
        <v>131</v>
      </c>
      <c r="M15" s="277" t="s">
        <v>133</v>
      </c>
      <c r="O15" s="188"/>
      <c r="P15" s="244"/>
    </row>
    <row r="16" spans="1:24" ht="34.5" x14ac:dyDescent="0.25">
      <c r="A16"/>
      <c r="B16"/>
      <c r="C16"/>
      <c r="D16"/>
      <c r="E16"/>
      <c r="F16" s="280"/>
      <c r="G16" s="188"/>
      <c r="H16" s="188" t="s">
        <v>126</v>
      </c>
      <c r="I16" s="188">
        <v>207</v>
      </c>
      <c r="J16" s="188"/>
      <c r="K16" s="315">
        <v>10414780</v>
      </c>
      <c r="L16" s="316" t="s">
        <v>132</v>
      </c>
      <c r="M16" s="277" t="s">
        <v>133</v>
      </c>
      <c r="O16" s="188"/>
      <c r="P16" s="244"/>
    </row>
    <row r="17" spans="1:9" s="239" customFormat="1" ht="15" x14ac:dyDescent="0.25">
      <c r="A17"/>
      <c r="B17"/>
      <c r="C17"/>
      <c r="D17"/>
      <c r="E17"/>
      <c r="H17" s="188" t="s">
        <v>127</v>
      </c>
      <c r="I17" s="188">
        <v>200</v>
      </c>
    </row>
    <row r="18" spans="1:9" s="238" customFormat="1" ht="15" x14ac:dyDescent="0.25">
      <c r="A18"/>
      <c r="B18"/>
      <c r="C18"/>
      <c r="D18"/>
      <c r="E18"/>
      <c r="H18" s="188" t="s">
        <v>127</v>
      </c>
      <c r="I18" s="281">
        <v>219</v>
      </c>
    </row>
    <row r="19" spans="1:9" s="239" customFormat="1" ht="13.35" customHeight="1" x14ac:dyDescent="0.2">
      <c r="H19" s="188" t="s">
        <v>127</v>
      </c>
      <c r="I19" s="281">
        <v>205</v>
      </c>
    </row>
    <row r="20" spans="1:9" s="282" customFormat="1" ht="15" x14ac:dyDescent="0.25">
      <c r="A20"/>
      <c r="B20"/>
      <c r="C20"/>
      <c r="D20"/>
      <c r="E20"/>
      <c r="F20"/>
      <c r="H20" s="188" t="s">
        <v>127</v>
      </c>
      <c r="I20" s="283">
        <v>220</v>
      </c>
    </row>
    <row r="21" spans="1:9" s="285" customFormat="1" ht="13.35" customHeight="1" x14ac:dyDescent="0.25">
      <c r="A21" s="284"/>
      <c r="B21" s="284"/>
      <c r="C21" s="284"/>
      <c r="D21" s="284"/>
      <c r="E21" s="284"/>
      <c r="F21"/>
      <c r="H21" s="188" t="s">
        <v>127</v>
      </c>
      <c r="I21" s="286">
        <v>203</v>
      </c>
    </row>
    <row r="22" spans="1:9" s="285" customFormat="1" ht="15" x14ac:dyDescent="0.25">
      <c r="A22"/>
      <c r="B22"/>
      <c r="C22"/>
      <c r="D22"/>
      <c r="E22"/>
      <c r="F22"/>
    </row>
    <row r="23" spans="1:9" s="285" customFormat="1" ht="15" x14ac:dyDescent="0.25">
      <c r="A23"/>
      <c r="B23"/>
      <c r="C23"/>
      <c r="D23"/>
      <c r="E23"/>
      <c r="F23"/>
    </row>
    <row r="24" spans="1:9" s="285" customFormat="1" ht="15" x14ac:dyDescent="0.25">
      <c r="A24"/>
      <c r="B24"/>
      <c r="C24"/>
      <c r="D24"/>
      <c r="E24"/>
      <c r="F24"/>
    </row>
    <row r="25" spans="1:9" s="285" customFormat="1" x14ac:dyDescent="0.25"/>
    <row r="26" spans="1:9" s="287" customFormat="1" x14ac:dyDescent="0.25"/>
    <row r="27" spans="1:9" s="287" customFormat="1" x14ac:dyDescent="0.25"/>
    <row r="28" spans="1:9" s="287" customFormat="1" x14ac:dyDescent="0.25"/>
    <row r="29" spans="1:9" s="287" customFormat="1" x14ac:dyDescent="0.25"/>
    <row r="30" spans="1:9" s="287" customFormat="1" x14ac:dyDescent="0.25"/>
    <row r="31" spans="1:9" s="287" customFormat="1" x14ac:dyDescent="0.25"/>
    <row r="32" spans="1:9" s="287" customFormat="1" x14ac:dyDescent="0.25"/>
    <row r="33" spans="1:19" s="287" customFormat="1" x14ac:dyDescent="0.25"/>
    <row r="34" spans="1:19" x14ac:dyDescent="0.2">
      <c r="A34" s="287"/>
      <c r="C34" s="188"/>
      <c r="D34" s="188"/>
      <c r="E34" s="188"/>
      <c r="F34" s="188"/>
      <c r="G34" s="188"/>
      <c r="H34" s="188"/>
      <c r="I34" s="188"/>
      <c r="J34" s="188"/>
      <c r="K34" s="188"/>
      <c r="L34" s="188"/>
      <c r="O34" s="188"/>
      <c r="P34" s="188"/>
      <c r="Q34" s="188"/>
      <c r="R34" s="188"/>
      <c r="S34" s="188"/>
    </row>
    <row r="35" spans="1:19" x14ac:dyDescent="0.2">
      <c r="A35" s="287"/>
      <c r="C35" s="188"/>
      <c r="D35" s="188"/>
      <c r="E35" s="188"/>
      <c r="F35" s="188"/>
      <c r="G35" s="188"/>
      <c r="H35" s="188"/>
      <c r="I35" s="188"/>
      <c r="J35" s="188"/>
      <c r="K35" s="188"/>
      <c r="L35" s="188"/>
      <c r="O35" s="188"/>
      <c r="P35" s="188"/>
      <c r="Q35" s="188"/>
      <c r="R35" s="188"/>
      <c r="S35" s="188"/>
    </row>
    <row r="36" spans="1:19" ht="15" x14ac:dyDescent="0.25">
      <c r="A36" s="287"/>
      <c r="C36"/>
      <c r="D36" s="188"/>
      <c r="E36" s="188"/>
      <c r="F36" s="188"/>
      <c r="G36" s="188"/>
      <c r="H36" s="188"/>
      <c r="I36" s="188"/>
      <c r="J36" s="188"/>
      <c r="K36" s="188"/>
      <c r="L36" s="188"/>
      <c r="O36" s="188"/>
      <c r="P36" s="188"/>
      <c r="Q36" s="188"/>
      <c r="R36" s="188"/>
      <c r="S36" s="188"/>
    </row>
    <row r="37" spans="1:19" x14ac:dyDescent="0.2">
      <c r="A37" s="287"/>
      <c r="C37" s="188"/>
      <c r="D37" s="188"/>
      <c r="E37" s="188"/>
      <c r="F37" s="188"/>
      <c r="G37" s="188"/>
      <c r="H37" s="188"/>
      <c r="I37" s="188"/>
      <c r="J37" s="188"/>
      <c r="K37" s="188"/>
      <c r="L37" s="188"/>
      <c r="O37" s="188"/>
      <c r="P37" s="188"/>
      <c r="Q37" s="188"/>
      <c r="R37" s="188"/>
      <c r="S37" s="188"/>
    </row>
    <row r="38" spans="1:19" x14ac:dyDescent="0.2">
      <c r="A38" s="287"/>
      <c r="C38" s="188"/>
      <c r="D38" s="188"/>
      <c r="E38" s="188"/>
      <c r="F38" s="188"/>
      <c r="G38" s="188"/>
      <c r="H38" s="188"/>
      <c r="I38" s="188"/>
      <c r="J38" s="188"/>
      <c r="K38" s="188"/>
      <c r="L38" s="188"/>
      <c r="O38" s="188"/>
      <c r="P38" s="188"/>
      <c r="Q38" s="188"/>
      <c r="R38" s="188"/>
      <c r="S38" s="188"/>
    </row>
    <row r="39" spans="1:19" x14ac:dyDescent="0.2">
      <c r="C39" s="188"/>
      <c r="D39" s="188"/>
      <c r="E39" s="188"/>
      <c r="F39" s="188"/>
      <c r="G39" s="188"/>
      <c r="H39" s="188"/>
      <c r="I39" s="188"/>
      <c r="J39" s="188"/>
      <c r="K39" s="188"/>
      <c r="L39" s="188"/>
      <c r="O39" s="188"/>
      <c r="P39" s="188"/>
      <c r="Q39" s="188"/>
      <c r="R39" s="188"/>
      <c r="S39" s="188"/>
    </row>
    <row r="40" spans="1:19" x14ac:dyDescent="0.2">
      <c r="C40" s="188"/>
      <c r="D40" s="188"/>
      <c r="E40" s="188"/>
      <c r="F40" s="188"/>
      <c r="G40" s="188"/>
      <c r="H40" s="188"/>
      <c r="I40" s="188"/>
      <c r="J40" s="188"/>
      <c r="K40" s="188"/>
      <c r="L40" s="188"/>
      <c r="O40" s="188"/>
      <c r="P40" s="188"/>
      <c r="Q40" s="188"/>
      <c r="R40" s="188"/>
      <c r="S40" s="188"/>
    </row>
    <row r="41" spans="1:19" x14ac:dyDescent="0.2">
      <c r="C41" s="188"/>
      <c r="D41" s="188"/>
      <c r="E41" s="188"/>
      <c r="F41" s="188"/>
      <c r="G41" s="188"/>
      <c r="H41" s="188"/>
      <c r="I41" s="188"/>
      <c r="J41" s="188"/>
      <c r="K41" s="188"/>
      <c r="L41" s="188"/>
      <c r="O41" s="188"/>
      <c r="P41" s="188"/>
      <c r="Q41" s="188"/>
      <c r="R41" s="188"/>
      <c r="S41" s="188"/>
    </row>
    <row r="42" spans="1:19" x14ac:dyDescent="0.2">
      <c r="C42" s="188"/>
      <c r="D42" s="188"/>
      <c r="E42" s="188"/>
      <c r="F42" s="188"/>
      <c r="G42" s="188"/>
      <c r="H42" s="188"/>
      <c r="I42" s="188"/>
      <c r="J42" s="188"/>
      <c r="K42" s="188"/>
      <c r="L42" s="188"/>
      <c r="O42" s="188"/>
      <c r="P42" s="188"/>
      <c r="Q42" s="188"/>
      <c r="R42" s="188"/>
      <c r="S42" s="188"/>
    </row>
    <row r="43" spans="1:19" x14ac:dyDescent="0.2">
      <c r="C43" s="188"/>
      <c r="D43" s="188"/>
      <c r="E43" s="188"/>
      <c r="F43" s="188"/>
      <c r="G43" s="188"/>
      <c r="H43" s="188"/>
      <c r="I43" s="188"/>
      <c r="J43" s="188"/>
      <c r="K43" s="188"/>
      <c r="L43" s="188"/>
      <c r="O43" s="188"/>
      <c r="P43" s="188"/>
      <c r="Q43" s="188"/>
      <c r="R43" s="188"/>
      <c r="S43" s="188"/>
    </row>
    <row r="44" spans="1:19" x14ac:dyDescent="0.2">
      <c r="C44" s="188"/>
      <c r="D44" s="188"/>
      <c r="E44" s="188"/>
      <c r="F44" s="188"/>
      <c r="G44" s="188"/>
      <c r="H44" s="188"/>
      <c r="I44" s="188"/>
      <c r="J44" s="188"/>
      <c r="K44" s="188"/>
      <c r="L44" s="188"/>
      <c r="O44" s="188"/>
      <c r="P44" s="188"/>
      <c r="Q44" s="188"/>
      <c r="R44" s="188"/>
      <c r="S44" s="188"/>
    </row>
    <row r="45" spans="1:19" x14ac:dyDescent="0.2">
      <c r="C45" s="188"/>
      <c r="D45" s="188"/>
      <c r="E45" s="188"/>
      <c r="F45" s="188"/>
      <c r="G45" s="188"/>
      <c r="H45" s="188"/>
      <c r="I45" s="243"/>
      <c r="J45" s="188"/>
      <c r="K45" s="188"/>
      <c r="L45" s="243"/>
      <c r="M45" s="243"/>
      <c r="O45" s="188"/>
      <c r="P45" s="244"/>
    </row>
    <row r="46" spans="1:19" x14ac:dyDescent="0.2">
      <c r="C46" s="188"/>
      <c r="D46" s="188"/>
      <c r="E46" s="188"/>
      <c r="F46" s="188"/>
      <c r="G46" s="188"/>
      <c r="H46" s="188"/>
      <c r="I46" s="243"/>
      <c r="J46" s="188"/>
      <c r="K46" s="188"/>
      <c r="L46" s="243"/>
      <c r="M46" s="243"/>
      <c r="O46" s="188"/>
      <c r="P46" s="244"/>
    </row>
    <row r="47" spans="1:19" x14ac:dyDescent="0.2">
      <c r="C47" s="188"/>
      <c r="D47" s="188"/>
      <c r="E47" s="188"/>
      <c r="F47" s="188"/>
      <c r="G47" s="188"/>
      <c r="H47" s="188"/>
      <c r="I47" s="243"/>
      <c r="J47" s="188"/>
      <c r="K47" s="188"/>
      <c r="L47" s="243"/>
      <c r="M47" s="243"/>
      <c r="O47" s="188"/>
      <c r="P47" s="244"/>
    </row>
    <row r="48" spans="1:19" x14ac:dyDescent="0.2">
      <c r="C48" s="188"/>
      <c r="D48" s="188"/>
      <c r="E48" s="188"/>
      <c r="F48" s="188"/>
      <c r="G48" s="188"/>
      <c r="H48" s="188"/>
      <c r="I48" s="188"/>
      <c r="J48" s="288"/>
      <c r="K48" s="188"/>
      <c r="L48" s="243"/>
      <c r="M48" s="243"/>
      <c r="O48" s="188"/>
      <c r="P48" s="244"/>
    </row>
    <row r="49" spans="1:26" x14ac:dyDescent="0.2">
      <c r="C49" s="188"/>
      <c r="D49" s="188"/>
      <c r="E49" s="188"/>
      <c r="F49" s="188"/>
      <c r="G49" s="188"/>
      <c r="H49" s="188"/>
      <c r="I49" s="188"/>
      <c r="J49" s="288"/>
      <c r="K49" s="188"/>
      <c r="L49" s="243"/>
      <c r="M49" s="243"/>
      <c r="O49" s="188"/>
      <c r="P49" s="244"/>
    </row>
    <row r="50" spans="1:26" x14ac:dyDescent="0.2">
      <c r="A50" s="241"/>
      <c r="B50" s="241"/>
      <c r="C50" s="241"/>
      <c r="D50" s="241"/>
      <c r="E50" s="248"/>
      <c r="F50" s="280"/>
      <c r="G50" s="188"/>
      <c r="H50" s="188"/>
      <c r="I50" s="243"/>
      <c r="J50" s="188"/>
      <c r="K50" s="188"/>
      <c r="L50" s="243"/>
      <c r="M50" s="243"/>
      <c r="O50" s="188"/>
      <c r="P50" s="244"/>
    </row>
    <row r="51" spans="1:26" x14ac:dyDescent="0.2">
      <c r="A51" s="241"/>
      <c r="B51" s="241"/>
      <c r="C51" s="241"/>
      <c r="D51" s="241"/>
      <c r="E51" s="248"/>
      <c r="F51" s="280"/>
      <c r="G51" s="188"/>
      <c r="H51" s="188"/>
      <c r="I51" s="243"/>
      <c r="J51" s="188"/>
      <c r="K51" s="188"/>
      <c r="L51" s="243"/>
      <c r="M51" s="243"/>
      <c r="O51" s="188"/>
      <c r="P51" s="244"/>
    </row>
    <row r="52" spans="1:26" x14ac:dyDescent="0.2">
      <c r="A52" s="241"/>
      <c r="B52" s="241"/>
      <c r="C52" s="241"/>
      <c r="D52" s="241"/>
      <c r="E52" s="248"/>
      <c r="F52" s="280"/>
      <c r="G52" s="188"/>
      <c r="H52" s="188"/>
      <c r="I52" s="243"/>
      <c r="J52" s="188"/>
      <c r="K52" s="188"/>
      <c r="L52" s="243"/>
      <c r="M52" s="243"/>
      <c r="O52" s="188"/>
      <c r="P52" s="244"/>
    </row>
    <row r="53" spans="1:26" x14ac:dyDescent="0.2">
      <c r="A53" s="241"/>
      <c r="B53" s="241"/>
      <c r="C53" s="241"/>
      <c r="D53" s="241"/>
      <c r="E53" s="248"/>
      <c r="F53" s="280"/>
      <c r="G53" s="188"/>
      <c r="H53" s="188"/>
      <c r="I53" s="243"/>
      <c r="J53" s="188"/>
      <c r="K53" s="188"/>
      <c r="L53" s="243"/>
      <c r="M53" s="243"/>
      <c r="O53" s="188"/>
      <c r="P53" s="244"/>
    </row>
    <row r="54" spans="1:26" x14ac:dyDescent="0.2">
      <c r="A54" s="241"/>
      <c r="B54" s="241"/>
      <c r="C54" s="241"/>
      <c r="D54" s="241"/>
      <c r="E54" s="248"/>
      <c r="F54" s="280"/>
      <c r="G54" s="188"/>
      <c r="H54" s="188"/>
      <c r="I54" s="243"/>
      <c r="J54" s="188"/>
      <c r="K54" s="188"/>
      <c r="L54" s="243"/>
      <c r="M54" s="243"/>
      <c r="O54" s="188"/>
      <c r="P54" s="244"/>
    </row>
    <row r="55" spans="1:26" x14ac:dyDescent="0.2">
      <c r="A55" s="241"/>
      <c r="B55" s="241"/>
      <c r="C55" s="241"/>
      <c r="D55" s="241"/>
      <c r="E55" s="248"/>
      <c r="F55" s="280"/>
      <c r="G55" s="188"/>
      <c r="H55" s="188"/>
      <c r="I55" s="243"/>
      <c r="J55" s="188"/>
      <c r="K55" s="188"/>
      <c r="L55" s="243"/>
      <c r="O55" s="188"/>
      <c r="P55" s="244"/>
      <c r="W55" s="243"/>
      <c r="X55" s="243"/>
    </row>
    <row r="56" spans="1:26" x14ac:dyDescent="0.2">
      <c r="A56" s="241"/>
      <c r="B56" s="241"/>
      <c r="C56" s="241"/>
      <c r="D56" s="241"/>
      <c r="E56" s="248"/>
      <c r="F56" s="280"/>
      <c r="G56" s="188"/>
      <c r="H56" s="188"/>
      <c r="I56" s="243"/>
      <c r="J56" s="188"/>
      <c r="K56" s="188"/>
      <c r="L56" s="243"/>
      <c r="O56" s="188"/>
      <c r="P56" s="244"/>
      <c r="W56" s="263"/>
      <c r="X56" s="243"/>
      <c r="Y56" s="243"/>
      <c r="Z56" s="243"/>
    </row>
    <row r="57" spans="1:26" x14ac:dyDescent="0.2">
      <c r="A57" s="241"/>
      <c r="B57" s="241"/>
      <c r="C57" s="241"/>
      <c r="D57" s="241"/>
      <c r="E57" s="248"/>
      <c r="F57" s="280"/>
      <c r="G57" s="188"/>
      <c r="H57" s="188"/>
      <c r="I57" s="243"/>
      <c r="J57" s="188"/>
      <c r="K57" s="188"/>
      <c r="L57" s="188"/>
      <c r="O57" s="188"/>
      <c r="P57" s="244"/>
      <c r="W57" s="263"/>
    </row>
    <row r="58" spans="1:26" x14ac:dyDescent="0.2">
      <c r="A58" s="241"/>
      <c r="B58" s="241"/>
      <c r="C58" s="241"/>
      <c r="D58" s="241"/>
      <c r="E58" s="248"/>
      <c r="F58" s="280"/>
      <c r="G58" s="188"/>
      <c r="H58" s="188"/>
      <c r="I58" s="243"/>
      <c r="J58" s="188"/>
      <c r="K58" s="188"/>
      <c r="L58" s="188"/>
      <c r="O58" s="188"/>
      <c r="P58" s="244"/>
      <c r="W58" s="243"/>
    </row>
    <row r="59" spans="1:26" x14ac:dyDescent="0.2">
      <c r="A59" s="241"/>
      <c r="B59" s="241"/>
      <c r="C59" s="241"/>
      <c r="D59" s="241"/>
      <c r="E59" s="248"/>
      <c r="F59" s="280"/>
      <c r="G59" s="188"/>
      <c r="H59" s="188"/>
      <c r="I59" s="243"/>
      <c r="J59" s="188"/>
      <c r="K59" s="188"/>
      <c r="L59" s="188"/>
      <c r="O59" s="188"/>
      <c r="P59" s="244"/>
    </row>
    <row r="60" spans="1:26" x14ac:dyDescent="0.2">
      <c r="A60" s="241"/>
      <c r="B60" s="241"/>
      <c r="C60" s="241"/>
      <c r="D60" s="241"/>
      <c r="E60" s="248"/>
      <c r="F60" s="280"/>
      <c r="G60" s="188"/>
      <c r="H60" s="188"/>
      <c r="I60" s="243"/>
      <c r="J60" s="188"/>
      <c r="K60" s="188"/>
      <c r="L60" s="188"/>
      <c r="O60" s="188"/>
      <c r="P60" s="244"/>
    </row>
    <row r="61" spans="1:26" x14ac:dyDescent="0.2">
      <c r="A61" s="241"/>
      <c r="B61" s="241"/>
      <c r="C61" s="241"/>
      <c r="D61" s="241"/>
      <c r="E61" s="248"/>
      <c r="F61" s="280"/>
      <c r="G61" s="188"/>
      <c r="H61" s="188"/>
      <c r="I61" s="243"/>
      <c r="J61" s="188"/>
      <c r="K61" s="188"/>
      <c r="L61" s="188"/>
      <c r="O61" s="188"/>
      <c r="P61" s="244"/>
    </row>
    <row r="62" spans="1:26" x14ac:dyDescent="0.2">
      <c r="A62" s="241"/>
      <c r="B62" s="241"/>
      <c r="C62" s="241"/>
      <c r="D62" s="241"/>
      <c r="E62" s="248"/>
      <c r="F62" s="280"/>
      <c r="G62" s="188"/>
      <c r="H62" s="188"/>
      <c r="I62" s="243"/>
      <c r="J62" s="188"/>
      <c r="K62" s="188"/>
      <c r="L62" s="188"/>
      <c r="O62" s="188"/>
      <c r="P62" s="244"/>
    </row>
    <row r="63" spans="1:26" x14ac:dyDescent="0.2">
      <c r="A63" s="241"/>
      <c r="B63" s="241"/>
      <c r="C63" s="241"/>
      <c r="D63" s="241"/>
      <c r="E63" s="248"/>
      <c r="F63" s="280"/>
      <c r="G63" s="188"/>
      <c r="H63" s="188"/>
      <c r="I63" s="243"/>
      <c r="J63" s="188"/>
      <c r="K63" s="188"/>
      <c r="L63" s="188"/>
      <c r="O63" s="188"/>
      <c r="P63" s="244"/>
    </row>
    <row r="64" spans="1:26" x14ac:dyDescent="0.2">
      <c r="A64" s="241"/>
      <c r="B64" s="241"/>
      <c r="C64" s="241"/>
      <c r="D64" s="241"/>
      <c r="E64" s="248"/>
      <c r="F64" s="280"/>
      <c r="G64" s="188"/>
      <c r="H64" s="188"/>
      <c r="I64" s="243"/>
      <c r="J64" s="188"/>
      <c r="K64" s="188"/>
      <c r="L64" s="188"/>
      <c r="O64" s="188"/>
      <c r="P64" s="244"/>
    </row>
    <row r="65" spans="1:22" x14ac:dyDescent="0.2">
      <c r="A65" s="241"/>
      <c r="B65" s="241"/>
      <c r="C65" s="241"/>
      <c r="D65" s="241"/>
      <c r="E65" s="248"/>
      <c r="F65" s="280"/>
      <c r="G65" s="188"/>
      <c r="H65" s="188"/>
      <c r="I65" s="243"/>
      <c r="J65" s="188"/>
      <c r="K65" s="188"/>
      <c r="L65" s="188"/>
      <c r="O65" s="188"/>
      <c r="P65" s="244"/>
    </row>
    <row r="66" spans="1:22" x14ac:dyDescent="0.2">
      <c r="A66" s="241"/>
      <c r="B66" s="241"/>
      <c r="C66" s="241"/>
      <c r="D66" s="241"/>
      <c r="E66" s="248"/>
      <c r="F66" s="280"/>
      <c r="G66" s="188"/>
      <c r="H66" s="188"/>
      <c r="I66" s="243"/>
      <c r="J66" s="188"/>
      <c r="K66" s="188"/>
      <c r="L66" s="188"/>
      <c r="O66" s="188"/>
      <c r="P66" s="244"/>
    </row>
    <row r="67" spans="1:22" x14ac:dyDescent="0.2">
      <c r="A67" s="241"/>
      <c r="B67" s="241"/>
      <c r="C67" s="241"/>
      <c r="D67" s="241"/>
      <c r="E67" s="248"/>
      <c r="F67" s="280"/>
      <c r="G67" s="188"/>
      <c r="H67" s="188"/>
      <c r="I67" s="243"/>
      <c r="J67" s="188"/>
      <c r="K67" s="188"/>
      <c r="L67" s="188"/>
      <c r="O67" s="188"/>
      <c r="P67" s="244"/>
    </row>
    <row r="68" spans="1:22" x14ac:dyDescent="0.2">
      <c r="A68" s="241"/>
      <c r="B68" s="241"/>
      <c r="C68" s="241"/>
      <c r="D68" s="241"/>
      <c r="E68" s="248"/>
      <c r="F68" s="280"/>
      <c r="G68" s="244"/>
      <c r="H68" s="188"/>
      <c r="I68" s="243"/>
      <c r="J68" s="188"/>
      <c r="K68" s="188"/>
      <c r="L68" s="188"/>
      <c r="O68" s="188"/>
      <c r="P68" s="244"/>
    </row>
    <row r="69" spans="1:22" x14ac:dyDescent="0.2">
      <c r="A69" s="241"/>
      <c r="B69" s="241"/>
      <c r="C69" s="241"/>
      <c r="D69" s="241"/>
      <c r="E69" s="248"/>
      <c r="F69" s="280"/>
      <c r="G69" s="244"/>
      <c r="H69" s="188"/>
      <c r="I69" s="243"/>
      <c r="J69" s="188"/>
      <c r="K69" s="188"/>
      <c r="L69" s="188"/>
      <c r="O69" s="188"/>
      <c r="P69" s="244"/>
    </row>
    <row r="70" spans="1:22" x14ac:dyDescent="0.2">
      <c r="A70" s="241"/>
      <c r="B70" s="241"/>
      <c r="C70" s="241"/>
      <c r="D70" s="241"/>
      <c r="E70" s="248"/>
      <c r="F70" s="280"/>
      <c r="G70" s="244"/>
      <c r="H70" s="188"/>
      <c r="I70" s="243"/>
      <c r="J70" s="188"/>
      <c r="K70" s="188"/>
      <c r="L70" s="188"/>
      <c r="O70" s="188"/>
      <c r="P70" s="244"/>
    </row>
    <row r="71" spans="1:22" x14ac:dyDescent="0.2">
      <c r="A71" s="241"/>
      <c r="B71" s="241"/>
      <c r="C71" s="241"/>
      <c r="D71" s="241"/>
      <c r="E71" s="248"/>
      <c r="F71" s="280"/>
      <c r="G71" s="244"/>
      <c r="H71" s="188"/>
      <c r="I71" s="243"/>
      <c r="J71" s="188"/>
      <c r="K71" s="188"/>
      <c r="L71" s="188"/>
      <c r="O71" s="188"/>
      <c r="P71" s="244"/>
    </row>
    <row r="72" spans="1:22" x14ac:dyDescent="0.2">
      <c r="A72" s="241"/>
      <c r="B72" s="241"/>
      <c r="C72" s="241"/>
      <c r="D72" s="241"/>
      <c r="E72" s="248"/>
      <c r="F72" s="280"/>
      <c r="G72" s="188"/>
      <c r="H72" s="188"/>
      <c r="I72" s="243"/>
      <c r="J72" s="188"/>
      <c r="K72" s="188"/>
      <c r="L72" s="188"/>
      <c r="O72" s="188"/>
      <c r="P72" s="244"/>
    </row>
    <row r="73" spans="1:22" x14ac:dyDescent="0.2">
      <c r="A73" s="241"/>
      <c r="B73" s="241"/>
      <c r="C73" s="241"/>
      <c r="D73" s="241"/>
      <c r="E73" s="248"/>
      <c r="F73" s="280"/>
      <c r="G73" s="188"/>
      <c r="H73" s="188"/>
      <c r="I73" s="243"/>
      <c r="J73" s="188"/>
      <c r="K73" s="188"/>
      <c r="L73" s="188"/>
      <c r="O73" s="188"/>
      <c r="P73" s="244"/>
    </row>
    <row r="74" spans="1:22" x14ac:dyDescent="0.2">
      <c r="A74" s="241"/>
      <c r="B74" s="241"/>
      <c r="C74" s="241"/>
      <c r="D74" s="241"/>
      <c r="E74" s="248"/>
      <c r="F74" s="280"/>
      <c r="G74" s="188"/>
      <c r="H74" s="188"/>
      <c r="I74" s="243"/>
      <c r="J74" s="188"/>
      <c r="K74" s="188"/>
      <c r="L74" s="188"/>
      <c r="O74" s="188"/>
      <c r="P74" s="244"/>
      <c r="R74" s="278"/>
      <c r="S74" s="278"/>
      <c r="T74" s="241"/>
      <c r="U74" s="241"/>
      <c r="V74" s="241"/>
    </row>
    <row r="75" spans="1:22" x14ac:dyDescent="0.2">
      <c r="A75" s="241"/>
      <c r="B75" s="241"/>
      <c r="C75" s="241"/>
      <c r="D75" s="241"/>
      <c r="E75" s="248"/>
      <c r="F75" s="280"/>
      <c r="G75" s="188"/>
      <c r="H75" s="188"/>
      <c r="I75" s="243"/>
      <c r="J75" s="188"/>
      <c r="K75" s="188"/>
      <c r="L75" s="188"/>
      <c r="O75" s="188"/>
      <c r="P75" s="244"/>
      <c r="R75" s="278"/>
      <c r="S75" s="278"/>
      <c r="T75" s="241"/>
      <c r="U75" s="241"/>
      <c r="V75" s="241"/>
    </row>
    <row r="76" spans="1:22" x14ac:dyDescent="0.2">
      <c r="A76" s="241"/>
      <c r="B76" s="241"/>
      <c r="C76" s="241"/>
      <c r="D76" s="241"/>
      <c r="E76" s="248"/>
      <c r="F76" s="280"/>
      <c r="G76" s="188"/>
      <c r="H76" s="188"/>
      <c r="I76" s="243"/>
      <c r="J76" s="188"/>
      <c r="K76" s="188"/>
      <c r="L76" s="188"/>
      <c r="O76" s="188"/>
      <c r="P76" s="244"/>
      <c r="R76" s="278"/>
      <c r="S76" s="278"/>
      <c r="T76" s="241"/>
      <c r="U76" s="241"/>
      <c r="V76" s="241"/>
    </row>
    <row r="77" spans="1:22" x14ac:dyDescent="0.2">
      <c r="A77" s="241"/>
      <c r="B77" s="241"/>
      <c r="C77" s="241"/>
      <c r="D77" s="241"/>
      <c r="E77" s="248"/>
      <c r="F77" s="280"/>
      <c r="G77" s="188"/>
      <c r="H77" s="188"/>
      <c r="I77" s="243"/>
      <c r="J77" s="188"/>
      <c r="K77" s="188"/>
      <c r="L77" s="188"/>
      <c r="O77" s="188"/>
      <c r="P77" s="244"/>
      <c r="R77" s="278"/>
      <c r="S77" s="278"/>
      <c r="T77" s="241"/>
      <c r="U77" s="241"/>
      <c r="V77" s="241"/>
    </row>
    <row r="78" spans="1:22" x14ac:dyDescent="0.2">
      <c r="A78" s="241"/>
      <c r="B78" s="241"/>
      <c r="C78" s="241"/>
      <c r="D78" s="241"/>
      <c r="E78" s="248"/>
      <c r="F78" s="280"/>
      <c r="G78" s="188"/>
      <c r="H78" s="188"/>
      <c r="I78" s="243"/>
      <c r="J78" s="188"/>
      <c r="K78" s="188"/>
      <c r="L78" s="188"/>
      <c r="O78" s="188"/>
      <c r="P78" s="244"/>
      <c r="R78" s="278"/>
      <c r="S78" s="278"/>
      <c r="T78" s="241"/>
      <c r="U78" s="241"/>
      <c r="V78" s="241"/>
    </row>
    <row r="79" spans="1:22" x14ac:dyDescent="0.2">
      <c r="A79" s="241"/>
      <c r="B79" s="241"/>
      <c r="C79" s="241"/>
      <c r="D79" s="241"/>
      <c r="E79" s="248"/>
      <c r="F79" s="280"/>
      <c r="G79" s="188"/>
      <c r="H79" s="188"/>
      <c r="I79" s="243"/>
      <c r="J79" s="188"/>
      <c r="K79" s="188"/>
      <c r="L79" s="188"/>
      <c r="N79" s="241"/>
      <c r="O79" s="241"/>
      <c r="P79" s="278"/>
      <c r="Q79" s="278"/>
      <c r="R79" s="278"/>
      <c r="S79" s="278"/>
      <c r="T79" s="241"/>
      <c r="U79" s="241"/>
      <c r="V79" s="241"/>
    </row>
    <row r="80" spans="1:22" x14ac:dyDescent="0.2">
      <c r="A80" s="241"/>
      <c r="B80" s="241"/>
      <c r="C80" s="241"/>
      <c r="D80" s="241"/>
      <c r="E80" s="248"/>
      <c r="F80" s="280"/>
      <c r="G80" s="188"/>
      <c r="H80" s="188"/>
      <c r="I80" s="243"/>
      <c r="J80" s="188"/>
      <c r="K80" s="188"/>
      <c r="L80" s="188"/>
      <c r="N80" s="241"/>
      <c r="O80" s="241"/>
      <c r="P80" s="278"/>
      <c r="Q80" s="278"/>
      <c r="R80" s="278"/>
      <c r="S80" s="278"/>
      <c r="T80" s="241"/>
      <c r="U80" s="241"/>
      <c r="V80" s="241"/>
    </row>
    <row r="81" spans="1:22" x14ac:dyDescent="0.2">
      <c r="A81" s="241"/>
      <c r="B81" s="241"/>
      <c r="C81" s="241"/>
      <c r="D81" s="241"/>
      <c r="E81" s="248"/>
      <c r="F81" s="280"/>
      <c r="G81" s="188"/>
      <c r="H81" s="188"/>
      <c r="I81" s="243"/>
      <c r="J81" s="188"/>
      <c r="K81" s="188"/>
      <c r="L81" s="188"/>
      <c r="N81" s="241"/>
      <c r="O81" s="241"/>
      <c r="P81" s="278"/>
      <c r="Q81" s="278"/>
      <c r="R81" s="278"/>
      <c r="S81" s="278"/>
      <c r="T81" s="241"/>
      <c r="U81" s="241"/>
      <c r="V81" s="241"/>
    </row>
    <row r="82" spans="1:22" x14ac:dyDescent="0.2">
      <c r="A82" s="241"/>
      <c r="B82" s="241"/>
      <c r="C82" s="241"/>
      <c r="D82" s="241"/>
      <c r="E82" s="248"/>
      <c r="F82" s="280"/>
      <c r="G82" s="188"/>
      <c r="H82" s="188"/>
      <c r="I82" s="243"/>
      <c r="J82" s="188"/>
      <c r="K82" s="188"/>
      <c r="L82" s="188"/>
      <c r="N82" s="241"/>
      <c r="O82" s="241"/>
      <c r="P82" s="278"/>
      <c r="Q82" s="278"/>
      <c r="R82" s="278"/>
      <c r="S82" s="278"/>
      <c r="T82" s="241"/>
      <c r="U82" s="241"/>
      <c r="V82" s="241"/>
    </row>
    <row r="83" spans="1:22" x14ac:dyDescent="0.2">
      <c r="A83" s="241"/>
      <c r="B83" s="241"/>
      <c r="C83" s="241"/>
      <c r="D83" s="241"/>
      <c r="E83" s="248"/>
      <c r="F83" s="280"/>
      <c r="G83" s="188"/>
      <c r="H83" s="188"/>
      <c r="I83" s="243"/>
      <c r="J83" s="188"/>
      <c r="K83" s="188"/>
      <c r="L83" s="188"/>
      <c r="N83" s="241"/>
      <c r="O83" s="241"/>
      <c r="P83" s="278"/>
      <c r="Q83" s="278"/>
      <c r="R83" s="278"/>
      <c r="S83" s="278"/>
      <c r="T83" s="241"/>
      <c r="U83" s="241"/>
      <c r="V83" s="241"/>
    </row>
    <row r="84" spans="1:22" x14ac:dyDescent="0.2">
      <c r="A84" s="241"/>
      <c r="B84" s="241"/>
      <c r="C84" s="241"/>
      <c r="D84" s="241"/>
      <c r="E84" s="248"/>
      <c r="F84" s="280"/>
      <c r="G84" s="188"/>
      <c r="H84" s="188"/>
      <c r="I84" s="243"/>
      <c r="J84" s="188"/>
      <c r="K84" s="188"/>
      <c r="L84" s="188"/>
      <c r="N84" s="241"/>
      <c r="O84" s="241"/>
      <c r="P84" s="278"/>
      <c r="Q84" s="278"/>
      <c r="R84" s="278"/>
      <c r="S84" s="278"/>
      <c r="T84" s="241"/>
      <c r="U84" s="241"/>
      <c r="V84" s="241"/>
    </row>
    <row r="85" spans="1:22" x14ac:dyDescent="0.2">
      <c r="A85" s="241"/>
      <c r="B85" s="241"/>
      <c r="C85" s="241"/>
      <c r="D85" s="241"/>
      <c r="E85" s="248"/>
      <c r="F85" s="280"/>
      <c r="G85" s="188"/>
      <c r="H85" s="188"/>
      <c r="I85" s="243"/>
      <c r="J85" s="188"/>
      <c r="K85" s="188"/>
      <c r="L85" s="188"/>
      <c r="N85" s="241"/>
      <c r="O85" s="241"/>
      <c r="P85" s="278"/>
      <c r="Q85" s="278"/>
      <c r="R85" s="278"/>
      <c r="S85" s="278"/>
      <c r="T85" s="241"/>
      <c r="U85" s="241"/>
      <c r="V85" s="241"/>
    </row>
    <row r="86" spans="1:22" x14ac:dyDescent="0.2">
      <c r="A86" s="241"/>
      <c r="B86" s="241"/>
      <c r="C86" s="241"/>
      <c r="D86" s="241"/>
      <c r="E86" s="248"/>
      <c r="F86" s="280"/>
      <c r="G86" s="188"/>
      <c r="H86" s="188"/>
      <c r="I86" s="243"/>
      <c r="J86" s="188"/>
      <c r="K86" s="188"/>
      <c r="L86" s="188"/>
      <c r="N86" s="241"/>
      <c r="O86" s="241"/>
      <c r="P86" s="278"/>
      <c r="Q86" s="278"/>
      <c r="R86" s="278"/>
      <c r="S86" s="278"/>
      <c r="T86" s="241"/>
      <c r="U86" s="241"/>
      <c r="V86" s="241"/>
    </row>
    <row r="87" spans="1:22" x14ac:dyDescent="0.2">
      <c r="A87" s="241"/>
      <c r="B87" s="241"/>
      <c r="C87" s="241"/>
      <c r="D87" s="241"/>
      <c r="E87" s="248"/>
      <c r="F87" s="280"/>
      <c r="G87" s="188"/>
      <c r="H87" s="188"/>
      <c r="I87" s="243"/>
      <c r="J87" s="188"/>
      <c r="K87" s="188"/>
      <c r="L87" s="188"/>
      <c r="N87" s="241"/>
      <c r="O87" s="241"/>
      <c r="P87" s="278"/>
      <c r="Q87" s="278"/>
      <c r="R87" s="278"/>
      <c r="S87" s="278"/>
      <c r="T87" s="241"/>
      <c r="U87" s="241"/>
      <c r="V87" s="241"/>
    </row>
    <row r="88" spans="1:22" x14ac:dyDescent="0.2">
      <c r="A88" s="241"/>
      <c r="B88" s="241"/>
      <c r="C88" s="241"/>
      <c r="D88" s="241"/>
      <c r="E88" s="248"/>
      <c r="F88" s="280"/>
      <c r="G88" s="188"/>
      <c r="H88" s="188"/>
      <c r="I88" s="243"/>
      <c r="J88" s="188"/>
      <c r="K88" s="188"/>
      <c r="L88" s="188"/>
      <c r="N88" s="241"/>
      <c r="O88" s="241"/>
      <c r="P88" s="278"/>
      <c r="Q88" s="278"/>
      <c r="R88" s="278"/>
      <c r="S88" s="278"/>
      <c r="T88" s="241"/>
      <c r="U88" s="241"/>
      <c r="V88" s="241"/>
    </row>
    <row r="89" spans="1:22" x14ac:dyDescent="0.2">
      <c r="A89" s="241"/>
      <c r="B89" s="241"/>
      <c r="C89" s="241"/>
      <c r="D89" s="241"/>
      <c r="E89" s="248"/>
      <c r="F89" s="280"/>
      <c r="G89" s="188"/>
      <c r="H89" s="188"/>
      <c r="I89" s="243"/>
      <c r="J89" s="188"/>
      <c r="K89" s="188"/>
      <c r="L89" s="188"/>
      <c r="N89" s="241"/>
      <c r="O89" s="241"/>
      <c r="P89" s="278"/>
      <c r="Q89" s="278"/>
      <c r="R89" s="278"/>
      <c r="S89" s="278"/>
      <c r="T89" s="241"/>
      <c r="U89" s="241"/>
      <c r="V89" s="241"/>
    </row>
    <row r="90" spans="1:22" x14ac:dyDescent="0.2">
      <c r="A90" s="241"/>
      <c r="B90" s="241"/>
      <c r="C90" s="241"/>
      <c r="D90" s="241"/>
      <c r="E90" s="248"/>
      <c r="F90" s="280"/>
      <c r="G90" s="188"/>
      <c r="H90" s="188"/>
      <c r="I90" s="243"/>
      <c r="J90" s="188"/>
      <c r="K90" s="188"/>
      <c r="L90" s="188"/>
      <c r="N90" s="241"/>
      <c r="O90" s="241"/>
      <c r="P90" s="278"/>
      <c r="Q90" s="278"/>
      <c r="R90" s="278"/>
      <c r="S90" s="278"/>
      <c r="T90" s="241"/>
      <c r="U90" s="241"/>
      <c r="V90" s="241"/>
    </row>
    <row r="91" spans="1:22" s="241" customFormat="1" x14ac:dyDescent="0.2">
      <c r="E91" s="248"/>
      <c r="F91" s="280"/>
      <c r="G91" s="188"/>
      <c r="H91" s="188"/>
      <c r="I91" s="243"/>
      <c r="J91" s="188"/>
      <c r="K91" s="188"/>
      <c r="L91" s="188"/>
      <c r="M91" s="188"/>
      <c r="P91" s="278"/>
      <c r="Q91" s="278"/>
      <c r="R91" s="278"/>
      <c r="S91" s="278"/>
    </row>
    <row r="92" spans="1:22" s="241" customFormat="1" x14ac:dyDescent="0.2">
      <c r="E92" s="248"/>
      <c r="F92" s="280"/>
      <c r="G92" s="188"/>
      <c r="H92" s="188"/>
      <c r="I92" s="243"/>
      <c r="J92" s="188"/>
      <c r="K92" s="188"/>
      <c r="L92" s="188"/>
      <c r="M92" s="188"/>
      <c r="P92" s="278"/>
      <c r="Q92" s="278"/>
      <c r="R92" s="278"/>
      <c r="S92" s="278"/>
    </row>
    <row r="93" spans="1:22" s="241" customFormat="1" x14ac:dyDescent="0.2">
      <c r="E93" s="248"/>
      <c r="F93" s="280"/>
      <c r="G93" s="188"/>
      <c r="H93" s="188"/>
      <c r="I93" s="243"/>
      <c r="J93" s="188"/>
      <c r="K93" s="188"/>
      <c r="L93" s="188"/>
      <c r="M93" s="188"/>
      <c r="P93" s="278"/>
      <c r="Q93" s="278"/>
      <c r="R93" s="278"/>
      <c r="S93" s="278"/>
    </row>
    <row r="94" spans="1:22" s="241" customFormat="1" x14ac:dyDescent="0.2">
      <c r="E94" s="248"/>
      <c r="F94" s="280"/>
      <c r="G94" s="188"/>
      <c r="H94" s="188"/>
      <c r="I94" s="243"/>
      <c r="J94" s="188"/>
      <c r="K94" s="188"/>
      <c r="L94" s="188"/>
      <c r="P94" s="278"/>
      <c r="Q94" s="278"/>
      <c r="R94" s="278"/>
      <c r="S94" s="278"/>
    </row>
    <row r="95" spans="1:22" s="241" customFormat="1" x14ac:dyDescent="0.2">
      <c r="E95" s="248"/>
      <c r="F95" s="280"/>
      <c r="G95" s="188"/>
      <c r="H95" s="188"/>
      <c r="I95" s="243"/>
      <c r="J95" s="188"/>
      <c r="K95" s="188"/>
      <c r="L95" s="188"/>
      <c r="P95" s="278"/>
      <c r="Q95" s="278"/>
      <c r="R95" s="278"/>
      <c r="S95" s="278"/>
    </row>
    <row r="96" spans="1:22" s="241" customFormat="1" x14ac:dyDescent="0.2">
      <c r="E96" s="248"/>
      <c r="F96" s="280"/>
      <c r="G96" s="188"/>
      <c r="H96" s="188"/>
      <c r="I96" s="243"/>
      <c r="J96" s="188"/>
      <c r="K96" s="188"/>
      <c r="L96" s="188"/>
      <c r="P96" s="278"/>
      <c r="Q96" s="278"/>
      <c r="R96" s="278"/>
      <c r="S96" s="278"/>
    </row>
    <row r="97" spans="5:19" s="241" customFormat="1" x14ac:dyDescent="0.2">
      <c r="E97" s="248"/>
      <c r="F97" s="280"/>
      <c r="G97" s="188"/>
      <c r="H97" s="188"/>
      <c r="I97" s="243"/>
      <c r="J97" s="188"/>
      <c r="K97" s="188"/>
      <c r="L97" s="188"/>
      <c r="P97" s="278"/>
      <c r="Q97" s="278"/>
      <c r="R97" s="278"/>
      <c r="S97" s="278"/>
    </row>
    <row r="98" spans="5:19" s="241" customFormat="1" x14ac:dyDescent="0.2">
      <c r="E98" s="248"/>
      <c r="F98" s="280"/>
      <c r="G98" s="188"/>
      <c r="H98" s="188"/>
      <c r="I98" s="243"/>
      <c r="J98" s="188"/>
      <c r="K98" s="188"/>
      <c r="L98" s="188"/>
      <c r="P98" s="278"/>
      <c r="Q98" s="278"/>
      <c r="R98" s="278"/>
      <c r="S98" s="278"/>
    </row>
    <row r="99" spans="5:19" s="241" customFormat="1" x14ac:dyDescent="0.2">
      <c r="E99" s="248"/>
      <c r="F99" s="280"/>
      <c r="G99" s="188"/>
      <c r="H99" s="188"/>
      <c r="I99" s="243"/>
      <c r="J99" s="188"/>
      <c r="K99" s="188"/>
      <c r="L99" s="188"/>
      <c r="P99" s="278"/>
      <c r="Q99" s="278"/>
      <c r="R99" s="278"/>
      <c r="S99" s="278"/>
    </row>
    <row r="100" spans="5:19" s="241" customFormat="1" x14ac:dyDescent="0.2">
      <c r="E100" s="248"/>
      <c r="F100" s="280"/>
      <c r="G100" s="188"/>
      <c r="H100" s="188"/>
      <c r="I100" s="243"/>
      <c r="J100" s="188"/>
      <c r="K100" s="188"/>
      <c r="L100" s="188"/>
      <c r="P100" s="278"/>
      <c r="Q100" s="278"/>
      <c r="R100" s="278"/>
      <c r="S100" s="278"/>
    </row>
    <row r="101" spans="5:19" s="241" customFormat="1" x14ac:dyDescent="0.2">
      <c r="E101" s="248"/>
      <c r="F101" s="280"/>
      <c r="G101" s="188"/>
      <c r="H101" s="188"/>
      <c r="I101" s="243"/>
      <c r="J101" s="188"/>
      <c r="K101" s="188"/>
      <c r="L101" s="188"/>
      <c r="P101" s="278"/>
      <c r="Q101" s="278"/>
      <c r="R101" s="278"/>
      <c r="S101" s="278"/>
    </row>
    <row r="102" spans="5:19" s="241" customFormat="1" x14ac:dyDescent="0.2">
      <c r="E102" s="248"/>
      <c r="F102" s="280"/>
      <c r="G102" s="188"/>
      <c r="H102" s="188"/>
      <c r="I102" s="243"/>
      <c r="J102" s="188"/>
      <c r="K102" s="188"/>
      <c r="L102" s="188"/>
      <c r="P102" s="278"/>
      <c r="Q102" s="278"/>
      <c r="R102" s="278"/>
      <c r="S102" s="278"/>
    </row>
    <row r="103" spans="5:19" s="241" customFormat="1" x14ac:dyDescent="0.2">
      <c r="E103" s="248"/>
      <c r="F103" s="280"/>
      <c r="G103" s="188"/>
      <c r="H103" s="188"/>
      <c r="I103" s="243"/>
      <c r="J103" s="188"/>
      <c r="K103" s="188"/>
      <c r="L103" s="188"/>
      <c r="P103" s="278"/>
      <c r="Q103" s="278"/>
      <c r="R103" s="278"/>
      <c r="S103" s="278"/>
    </row>
    <row r="104" spans="5:19" s="241" customFormat="1" x14ac:dyDescent="0.2">
      <c r="E104" s="248"/>
      <c r="F104" s="280"/>
      <c r="G104" s="188"/>
      <c r="H104" s="188"/>
      <c r="I104" s="243"/>
      <c r="J104" s="188"/>
      <c r="K104" s="188"/>
      <c r="L104" s="188"/>
      <c r="P104" s="278"/>
      <c r="Q104" s="278"/>
      <c r="R104" s="278"/>
      <c r="S104" s="278"/>
    </row>
    <row r="105" spans="5:19" s="241" customFormat="1" x14ac:dyDescent="0.2">
      <c r="E105" s="248"/>
      <c r="F105" s="280"/>
      <c r="G105" s="188"/>
      <c r="H105" s="188"/>
      <c r="I105" s="243"/>
      <c r="J105" s="188"/>
      <c r="K105" s="188"/>
      <c r="L105" s="188"/>
      <c r="P105" s="278"/>
      <c r="Q105" s="278"/>
      <c r="R105" s="278"/>
      <c r="S105" s="278"/>
    </row>
    <row r="106" spans="5:19" s="241" customFormat="1" x14ac:dyDescent="0.2">
      <c r="E106" s="248"/>
      <c r="F106" s="280"/>
      <c r="G106" s="188"/>
      <c r="H106" s="188"/>
      <c r="I106" s="243"/>
      <c r="J106" s="188"/>
      <c r="K106" s="188"/>
      <c r="L106" s="188"/>
      <c r="P106" s="278"/>
      <c r="Q106" s="278"/>
      <c r="R106" s="278"/>
      <c r="S106" s="278"/>
    </row>
    <row r="107" spans="5:19" s="241" customFormat="1" x14ac:dyDescent="0.2">
      <c r="E107" s="248"/>
      <c r="F107" s="280"/>
      <c r="G107" s="188"/>
      <c r="H107" s="188"/>
      <c r="I107" s="243"/>
      <c r="J107" s="188"/>
      <c r="K107" s="188"/>
      <c r="L107" s="188"/>
      <c r="P107" s="278"/>
      <c r="Q107" s="278"/>
      <c r="R107" s="278"/>
      <c r="S107" s="278"/>
    </row>
    <row r="108" spans="5:19" s="241" customFormat="1" x14ac:dyDescent="0.2">
      <c r="E108" s="248"/>
      <c r="F108" s="280"/>
      <c r="G108" s="188"/>
      <c r="H108" s="188"/>
      <c r="I108" s="243"/>
      <c r="J108" s="188"/>
      <c r="K108" s="188"/>
      <c r="L108" s="188"/>
      <c r="P108" s="278"/>
      <c r="Q108" s="278"/>
      <c r="R108" s="278"/>
      <c r="S108" s="278"/>
    </row>
    <row r="109" spans="5:19" s="241" customFormat="1" x14ac:dyDescent="0.2">
      <c r="E109" s="248"/>
      <c r="F109" s="280"/>
      <c r="G109" s="188"/>
      <c r="H109" s="188"/>
      <c r="I109" s="243"/>
      <c r="J109" s="188"/>
      <c r="K109" s="188"/>
      <c r="L109" s="188"/>
      <c r="P109" s="278"/>
      <c r="Q109" s="278"/>
      <c r="R109" s="278"/>
      <c r="S109" s="278"/>
    </row>
    <row r="110" spans="5:19" s="241" customFormat="1" x14ac:dyDescent="0.2">
      <c r="E110" s="248"/>
      <c r="F110" s="280"/>
      <c r="G110" s="188"/>
      <c r="H110" s="188"/>
      <c r="I110" s="243"/>
      <c r="J110" s="188"/>
      <c r="K110" s="188"/>
      <c r="L110" s="188"/>
      <c r="P110" s="278"/>
      <c r="Q110" s="278"/>
      <c r="R110" s="278"/>
      <c r="S110" s="278"/>
    </row>
    <row r="111" spans="5:19" s="241" customFormat="1" x14ac:dyDescent="0.2">
      <c r="E111" s="248"/>
      <c r="F111" s="280"/>
      <c r="G111" s="188"/>
      <c r="H111" s="188"/>
      <c r="I111" s="243"/>
      <c r="J111" s="188"/>
      <c r="K111" s="188"/>
      <c r="L111" s="188"/>
      <c r="P111" s="278"/>
      <c r="Q111" s="278"/>
      <c r="R111" s="278"/>
      <c r="S111" s="278"/>
    </row>
    <row r="112" spans="5:19" s="241" customFormat="1" x14ac:dyDescent="0.2">
      <c r="E112" s="248"/>
      <c r="F112" s="280"/>
      <c r="G112" s="188"/>
      <c r="H112" s="188"/>
      <c r="I112" s="243"/>
      <c r="J112" s="188"/>
      <c r="K112" s="188"/>
      <c r="L112" s="188"/>
      <c r="P112" s="278"/>
      <c r="Q112" s="278"/>
      <c r="R112" s="278"/>
      <c r="S112" s="278"/>
    </row>
    <row r="113" spans="5:19" s="241" customFormat="1" x14ac:dyDescent="0.2">
      <c r="E113" s="248"/>
      <c r="F113" s="280"/>
      <c r="G113" s="188"/>
      <c r="H113" s="188"/>
      <c r="I113" s="243"/>
      <c r="J113" s="188"/>
      <c r="K113" s="188"/>
      <c r="L113" s="188"/>
      <c r="P113" s="278"/>
      <c r="Q113" s="278"/>
      <c r="R113" s="278"/>
      <c r="S113" s="278"/>
    </row>
    <row r="114" spans="5:19" s="241" customFormat="1" x14ac:dyDescent="0.2">
      <c r="E114" s="248"/>
      <c r="F114" s="280"/>
      <c r="G114" s="188"/>
      <c r="H114" s="188"/>
      <c r="I114" s="243"/>
      <c r="J114" s="188"/>
      <c r="K114" s="188"/>
      <c r="L114" s="188"/>
      <c r="P114" s="278"/>
      <c r="Q114" s="278"/>
      <c r="R114" s="278"/>
      <c r="S114" s="278"/>
    </row>
    <row r="115" spans="5:19" s="241" customFormat="1" x14ac:dyDescent="0.2">
      <c r="E115" s="248"/>
      <c r="F115" s="280"/>
      <c r="G115" s="188"/>
      <c r="H115" s="188"/>
      <c r="I115" s="243"/>
      <c r="J115" s="188"/>
      <c r="K115" s="188"/>
      <c r="L115" s="188"/>
      <c r="P115" s="278"/>
      <c r="Q115" s="278"/>
      <c r="R115" s="278"/>
      <c r="S115" s="278"/>
    </row>
    <row r="116" spans="5:19" s="241" customFormat="1" x14ac:dyDescent="0.2">
      <c r="E116" s="248"/>
      <c r="F116" s="280"/>
      <c r="G116" s="188"/>
      <c r="H116" s="188"/>
      <c r="I116" s="243"/>
      <c r="J116" s="188"/>
      <c r="K116" s="188"/>
      <c r="L116" s="188"/>
      <c r="P116" s="278"/>
      <c r="Q116" s="278"/>
      <c r="R116" s="278"/>
      <c r="S116" s="278"/>
    </row>
    <row r="117" spans="5:19" s="241" customFormat="1" x14ac:dyDescent="0.2">
      <c r="E117" s="248"/>
      <c r="F117" s="280"/>
      <c r="G117" s="188"/>
      <c r="H117" s="188"/>
      <c r="I117" s="243"/>
      <c r="J117" s="188"/>
      <c r="K117" s="188"/>
      <c r="L117" s="188"/>
      <c r="P117" s="278"/>
      <c r="Q117" s="278"/>
      <c r="R117" s="278"/>
      <c r="S117" s="278"/>
    </row>
    <row r="118" spans="5:19" s="241" customFormat="1" x14ac:dyDescent="0.2">
      <c r="E118" s="248"/>
      <c r="F118" s="280"/>
      <c r="G118" s="188"/>
      <c r="H118" s="188"/>
      <c r="I118" s="243"/>
      <c r="J118" s="188"/>
      <c r="K118" s="188"/>
      <c r="L118" s="188"/>
      <c r="P118" s="278"/>
      <c r="Q118" s="278"/>
      <c r="R118" s="278"/>
      <c r="S118" s="278"/>
    </row>
    <row r="119" spans="5:19" s="241" customFormat="1" x14ac:dyDescent="0.2">
      <c r="E119" s="248"/>
      <c r="F119" s="280"/>
      <c r="G119" s="188"/>
      <c r="H119" s="188"/>
      <c r="I119" s="243"/>
      <c r="J119" s="188"/>
      <c r="K119" s="188"/>
      <c r="L119" s="188"/>
      <c r="P119" s="278"/>
      <c r="Q119" s="278"/>
      <c r="R119" s="278"/>
      <c r="S119" s="278"/>
    </row>
    <row r="120" spans="5:19" s="241" customFormat="1" x14ac:dyDescent="0.2">
      <c r="E120" s="248"/>
      <c r="F120" s="280"/>
      <c r="G120" s="188"/>
      <c r="H120" s="188"/>
      <c r="I120" s="243"/>
      <c r="J120" s="188"/>
      <c r="K120" s="188"/>
      <c r="L120" s="188"/>
      <c r="P120" s="278"/>
      <c r="Q120" s="278"/>
      <c r="R120" s="278"/>
      <c r="S120" s="278"/>
    </row>
    <row r="121" spans="5:19" s="241" customFormat="1" x14ac:dyDescent="0.2">
      <c r="E121" s="248"/>
      <c r="F121" s="280"/>
      <c r="G121" s="188"/>
      <c r="H121" s="188"/>
      <c r="I121" s="243"/>
      <c r="J121" s="188"/>
      <c r="K121" s="188"/>
      <c r="L121" s="188"/>
      <c r="P121" s="278"/>
      <c r="Q121" s="278"/>
      <c r="R121" s="278"/>
      <c r="S121" s="278"/>
    </row>
    <row r="122" spans="5:19" s="241" customFormat="1" x14ac:dyDescent="0.2">
      <c r="E122" s="248"/>
      <c r="F122" s="280"/>
      <c r="G122" s="188"/>
      <c r="H122" s="188"/>
      <c r="I122" s="243"/>
      <c r="J122" s="188"/>
      <c r="K122" s="188"/>
      <c r="L122" s="188"/>
      <c r="P122" s="278"/>
      <c r="Q122" s="278"/>
      <c r="R122" s="278"/>
      <c r="S122" s="278"/>
    </row>
    <row r="123" spans="5:19" s="241" customFormat="1" x14ac:dyDescent="0.2">
      <c r="E123" s="248"/>
      <c r="F123" s="280"/>
      <c r="G123" s="188"/>
      <c r="H123" s="188"/>
      <c r="I123" s="243"/>
      <c r="J123" s="188"/>
      <c r="K123" s="188"/>
      <c r="L123" s="188"/>
      <c r="P123" s="278"/>
      <c r="Q123" s="278"/>
      <c r="R123" s="278"/>
      <c r="S123" s="278"/>
    </row>
    <row r="124" spans="5:19" s="241" customFormat="1" x14ac:dyDescent="0.2">
      <c r="E124" s="248"/>
      <c r="F124" s="280"/>
      <c r="G124" s="188"/>
      <c r="H124" s="188"/>
      <c r="I124" s="243"/>
      <c r="J124" s="188"/>
      <c r="K124" s="188"/>
      <c r="L124" s="188"/>
      <c r="P124" s="278"/>
      <c r="Q124" s="278"/>
      <c r="R124" s="278"/>
      <c r="S124" s="278"/>
    </row>
    <row r="125" spans="5:19" s="241" customFormat="1" x14ac:dyDescent="0.2">
      <c r="E125" s="248"/>
      <c r="F125" s="280"/>
      <c r="G125" s="188"/>
      <c r="H125" s="188"/>
      <c r="I125" s="243"/>
      <c r="J125" s="188"/>
      <c r="K125" s="188"/>
      <c r="L125" s="188"/>
      <c r="P125" s="278"/>
      <c r="Q125" s="278"/>
      <c r="R125" s="278"/>
      <c r="S125" s="278"/>
    </row>
    <row r="126" spans="5:19" s="241" customFormat="1" x14ac:dyDescent="0.2">
      <c r="E126" s="248"/>
      <c r="F126" s="280"/>
      <c r="G126" s="188"/>
      <c r="H126" s="188"/>
      <c r="I126" s="243"/>
      <c r="J126" s="188"/>
      <c r="K126" s="188"/>
      <c r="L126" s="188"/>
      <c r="P126" s="278"/>
      <c r="Q126" s="278"/>
      <c r="R126" s="278"/>
      <c r="S126" s="278"/>
    </row>
    <row r="127" spans="5:19" s="241" customFormat="1" x14ac:dyDescent="0.2">
      <c r="E127" s="248"/>
      <c r="F127" s="280"/>
      <c r="G127" s="188"/>
      <c r="H127" s="188"/>
      <c r="I127" s="243"/>
      <c r="J127" s="188"/>
      <c r="K127" s="188"/>
      <c r="L127" s="188"/>
      <c r="P127" s="278"/>
      <c r="Q127" s="278"/>
      <c r="R127" s="278"/>
      <c r="S127" s="278"/>
    </row>
    <row r="128" spans="5:19" s="241" customFormat="1" x14ac:dyDescent="0.2">
      <c r="E128" s="248"/>
      <c r="F128" s="280"/>
      <c r="G128" s="188"/>
      <c r="H128" s="188"/>
      <c r="I128" s="243"/>
      <c r="J128" s="188"/>
      <c r="K128" s="188"/>
      <c r="L128" s="188"/>
      <c r="P128" s="278"/>
      <c r="Q128" s="278"/>
      <c r="R128" s="278"/>
      <c r="S128" s="278"/>
    </row>
    <row r="129" spans="1:22" s="241" customFormat="1" x14ac:dyDescent="0.2">
      <c r="E129" s="248"/>
      <c r="F129" s="280"/>
      <c r="G129" s="188"/>
      <c r="H129" s="188"/>
      <c r="I129" s="243"/>
      <c r="J129" s="188"/>
      <c r="K129" s="188"/>
      <c r="L129" s="188"/>
      <c r="P129" s="278"/>
      <c r="Q129" s="278"/>
      <c r="R129" s="278"/>
      <c r="S129" s="278"/>
    </row>
    <row r="130" spans="1:22" s="241" customFormat="1" x14ac:dyDescent="0.2">
      <c r="E130" s="248"/>
      <c r="F130" s="280"/>
      <c r="G130" s="188"/>
      <c r="H130" s="188"/>
      <c r="I130" s="243"/>
      <c r="J130" s="188"/>
      <c r="K130" s="188"/>
      <c r="L130" s="188"/>
      <c r="P130" s="278"/>
      <c r="Q130" s="278"/>
      <c r="R130" s="278"/>
      <c r="S130" s="278"/>
    </row>
    <row r="131" spans="1:22" s="241" customFormat="1" x14ac:dyDescent="0.2">
      <c r="E131" s="248"/>
      <c r="F131" s="280"/>
      <c r="G131" s="188"/>
      <c r="H131" s="188"/>
      <c r="I131" s="243"/>
      <c r="J131" s="188"/>
      <c r="K131" s="188"/>
      <c r="L131" s="188"/>
      <c r="P131" s="278"/>
      <c r="Q131" s="278"/>
      <c r="R131" s="244"/>
      <c r="S131" s="244"/>
      <c r="T131" s="188"/>
      <c r="U131" s="188"/>
      <c r="V131" s="188"/>
    </row>
    <row r="132" spans="1:22" s="241" customFormat="1" x14ac:dyDescent="0.2">
      <c r="E132" s="248"/>
      <c r="F132" s="280"/>
      <c r="G132" s="188"/>
      <c r="H132" s="188"/>
      <c r="I132" s="243"/>
      <c r="J132" s="188"/>
      <c r="K132" s="188"/>
      <c r="L132" s="188"/>
      <c r="P132" s="278"/>
      <c r="Q132" s="278"/>
      <c r="R132" s="244"/>
      <c r="S132" s="244"/>
      <c r="T132" s="188"/>
      <c r="U132" s="188"/>
      <c r="V132" s="188"/>
    </row>
    <row r="133" spans="1:22" s="241" customFormat="1" x14ac:dyDescent="0.2">
      <c r="E133" s="248"/>
      <c r="F133" s="280"/>
      <c r="G133" s="188"/>
      <c r="H133" s="188"/>
      <c r="I133" s="243"/>
      <c r="J133" s="188"/>
      <c r="K133" s="188"/>
      <c r="L133" s="188"/>
      <c r="P133" s="278"/>
      <c r="Q133" s="278"/>
      <c r="R133" s="244"/>
      <c r="S133" s="244"/>
      <c r="T133" s="188"/>
      <c r="U133" s="188"/>
      <c r="V133" s="188"/>
    </row>
    <row r="134" spans="1:22" s="241" customFormat="1" x14ac:dyDescent="0.2">
      <c r="E134" s="248"/>
      <c r="F134" s="280"/>
      <c r="G134" s="188"/>
      <c r="H134" s="188"/>
      <c r="I134" s="243"/>
      <c r="J134" s="188"/>
      <c r="K134" s="188"/>
      <c r="L134" s="188"/>
      <c r="P134" s="278"/>
      <c r="Q134" s="278"/>
      <c r="R134" s="244"/>
      <c r="S134" s="244"/>
      <c r="T134" s="188"/>
      <c r="U134" s="188"/>
      <c r="V134" s="188"/>
    </row>
    <row r="135" spans="1:22" s="241" customFormat="1" x14ac:dyDescent="0.2">
      <c r="E135" s="248"/>
      <c r="F135" s="280"/>
      <c r="G135" s="188"/>
      <c r="H135" s="188"/>
      <c r="I135" s="243"/>
      <c r="J135" s="188"/>
      <c r="K135" s="188"/>
      <c r="L135" s="188"/>
      <c r="P135" s="278"/>
      <c r="Q135" s="278"/>
      <c r="R135" s="244"/>
      <c r="S135" s="244"/>
      <c r="T135" s="188"/>
      <c r="U135" s="188"/>
      <c r="V135" s="188"/>
    </row>
    <row r="136" spans="1:22" s="241" customFormat="1" x14ac:dyDescent="0.2">
      <c r="E136" s="248"/>
      <c r="F136" s="280"/>
      <c r="G136" s="188"/>
      <c r="H136" s="188"/>
      <c r="I136" s="243"/>
      <c r="J136" s="188"/>
      <c r="K136" s="188"/>
      <c r="L136" s="188"/>
      <c r="N136" s="188"/>
      <c r="O136" s="243"/>
      <c r="P136" s="289"/>
      <c r="Q136" s="244"/>
      <c r="R136" s="244"/>
      <c r="S136" s="244"/>
      <c r="T136" s="188"/>
      <c r="U136" s="188"/>
      <c r="V136" s="188"/>
    </row>
    <row r="137" spans="1:22" s="241" customFormat="1" x14ac:dyDescent="0.2">
      <c r="E137" s="248"/>
      <c r="F137" s="280"/>
      <c r="G137" s="188"/>
      <c r="H137" s="188"/>
      <c r="I137" s="243"/>
      <c r="J137" s="188"/>
      <c r="K137" s="188"/>
      <c r="L137" s="188"/>
      <c r="N137" s="188"/>
      <c r="O137" s="243"/>
      <c r="P137" s="289"/>
      <c r="Q137" s="244"/>
      <c r="R137" s="244"/>
      <c r="S137" s="244"/>
      <c r="T137" s="188"/>
      <c r="U137" s="188"/>
      <c r="V137" s="188"/>
    </row>
    <row r="138" spans="1:22" s="241" customFormat="1" x14ac:dyDescent="0.2">
      <c r="E138" s="248"/>
      <c r="F138" s="280"/>
      <c r="G138" s="188"/>
      <c r="H138" s="188"/>
      <c r="I138" s="243"/>
      <c r="J138" s="188"/>
      <c r="K138" s="188"/>
      <c r="L138" s="188"/>
      <c r="N138" s="188"/>
      <c r="O138" s="243"/>
      <c r="P138" s="289"/>
      <c r="Q138" s="244"/>
      <c r="R138" s="244"/>
      <c r="S138" s="244"/>
      <c r="T138" s="188"/>
      <c r="U138" s="188"/>
      <c r="V138" s="188"/>
    </row>
    <row r="139" spans="1:22" s="241" customFormat="1" x14ac:dyDescent="0.2">
      <c r="E139" s="248"/>
      <c r="F139" s="280"/>
      <c r="G139" s="188"/>
      <c r="H139" s="188"/>
      <c r="I139" s="243"/>
      <c r="J139" s="188"/>
      <c r="K139" s="188"/>
      <c r="L139" s="188"/>
      <c r="N139" s="188"/>
      <c r="O139" s="243"/>
      <c r="P139" s="289"/>
      <c r="Q139" s="244"/>
      <c r="R139" s="244"/>
      <c r="S139" s="244"/>
      <c r="T139" s="188"/>
      <c r="U139" s="188"/>
      <c r="V139" s="188"/>
    </row>
    <row r="140" spans="1:22" s="241" customFormat="1" x14ac:dyDescent="0.2">
      <c r="A140" s="188"/>
      <c r="B140" s="188"/>
      <c r="C140" s="290"/>
      <c r="D140" s="290"/>
      <c r="E140" s="290"/>
      <c r="F140" s="290"/>
      <c r="H140" s="278"/>
      <c r="J140" s="188"/>
      <c r="K140" s="188"/>
      <c r="L140" s="188"/>
      <c r="N140" s="188"/>
      <c r="O140" s="243"/>
      <c r="P140" s="289"/>
      <c r="Q140" s="244"/>
      <c r="R140" s="244"/>
      <c r="S140" s="244"/>
      <c r="T140" s="188"/>
      <c r="U140" s="188"/>
      <c r="V140" s="188"/>
    </row>
    <row r="141" spans="1:22" s="241" customFormat="1" x14ac:dyDescent="0.2">
      <c r="A141" s="188"/>
      <c r="B141" s="188"/>
      <c r="C141" s="290"/>
      <c r="D141" s="290"/>
      <c r="E141" s="290"/>
      <c r="F141" s="290"/>
      <c r="H141" s="278"/>
      <c r="J141" s="188"/>
      <c r="K141" s="188"/>
      <c r="L141" s="188"/>
      <c r="N141" s="188"/>
      <c r="O141" s="243"/>
      <c r="P141" s="289"/>
      <c r="Q141" s="244"/>
      <c r="R141" s="244"/>
      <c r="S141" s="244"/>
      <c r="T141" s="188"/>
      <c r="U141" s="188"/>
      <c r="V141" s="188"/>
    </row>
    <row r="142" spans="1:22" s="241" customFormat="1" x14ac:dyDescent="0.2">
      <c r="A142" s="188"/>
      <c r="B142" s="188"/>
      <c r="C142" s="290"/>
      <c r="D142" s="290"/>
      <c r="E142" s="290"/>
      <c r="F142" s="290"/>
      <c r="H142" s="278"/>
      <c r="J142" s="188"/>
      <c r="K142" s="188"/>
      <c r="L142" s="188"/>
      <c r="N142" s="188"/>
      <c r="O142" s="243"/>
      <c r="P142" s="289"/>
      <c r="Q142" s="244"/>
      <c r="R142" s="244"/>
      <c r="S142" s="244"/>
      <c r="T142" s="188"/>
      <c r="U142" s="188"/>
      <c r="V142" s="188"/>
    </row>
    <row r="143" spans="1:22" s="241" customFormat="1" x14ac:dyDescent="0.2">
      <c r="A143" s="188"/>
      <c r="B143" s="188"/>
      <c r="C143" s="290"/>
      <c r="D143" s="290"/>
      <c r="E143" s="290"/>
      <c r="F143" s="290"/>
      <c r="H143" s="278"/>
      <c r="J143" s="188"/>
      <c r="K143" s="188"/>
      <c r="L143" s="188"/>
      <c r="N143" s="188"/>
      <c r="O143" s="243"/>
      <c r="P143" s="289"/>
      <c r="Q143" s="244"/>
      <c r="R143" s="244"/>
      <c r="S143" s="244"/>
      <c r="T143" s="188"/>
      <c r="U143" s="188"/>
      <c r="V143" s="188"/>
    </row>
    <row r="144" spans="1:22" s="241" customFormat="1" x14ac:dyDescent="0.2">
      <c r="A144" s="188"/>
      <c r="B144" s="188"/>
      <c r="C144" s="290"/>
      <c r="D144" s="290"/>
      <c r="E144" s="290"/>
      <c r="F144" s="290"/>
      <c r="H144" s="278"/>
      <c r="J144" s="188"/>
      <c r="K144" s="188"/>
      <c r="L144" s="188"/>
      <c r="N144" s="188"/>
      <c r="O144" s="243"/>
      <c r="P144" s="289"/>
      <c r="Q144" s="244"/>
      <c r="R144" s="244"/>
      <c r="S144" s="244"/>
      <c r="T144" s="188"/>
      <c r="U144" s="188"/>
      <c r="V144" s="188"/>
    </row>
    <row r="145" spans="1:22" s="241" customFormat="1" x14ac:dyDescent="0.2">
      <c r="A145" s="188"/>
      <c r="B145" s="188"/>
      <c r="C145" s="290"/>
      <c r="D145" s="290"/>
      <c r="E145" s="290"/>
      <c r="F145" s="290"/>
      <c r="H145" s="278"/>
      <c r="J145" s="188"/>
      <c r="K145" s="188"/>
      <c r="L145" s="188"/>
      <c r="N145" s="188"/>
      <c r="O145" s="243"/>
      <c r="P145" s="289"/>
      <c r="Q145" s="244"/>
      <c r="R145" s="244"/>
      <c r="S145" s="244"/>
      <c r="T145" s="188"/>
      <c r="U145" s="188"/>
      <c r="V145" s="188"/>
    </row>
    <row r="146" spans="1:22" s="241" customFormat="1" x14ac:dyDescent="0.2">
      <c r="A146" s="188"/>
      <c r="B146" s="188"/>
      <c r="C146" s="290"/>
      <c r="D146" s="290"/>
      <c r="E146" s="290"/>
      <c r="F146" s="290"/>
      <c r="H146" s="278"/>
      <c r="K146" s="188"/>
      <c r="L146" s="188"/>
      <c r="N146" s="188"/>
      <c r="O146" s="243"/>
      <c r="P146" s="289"/>
      <c r="Q146" s="244"/>
      <c r="R146" s="244"/>
      <c r="S146" s="244"/>
      <c r="T146" s="188"/>
      <c r="U146" s="188"/>
      <c r="V146" s="188"/>
    </row>
    <row r="147" spans="1:22" s="241" customFormat="1" x14ac:dyDescent="0.2">
      <c r="A147" s="188"/>
      <c r="B147" s="188"/>
      <c r="C147" s="290"/>
      <c r="D147" s="290"/>
      <c r="E147" s="290"/>
      <c r="F147" s="290"/>
      <c r="H147" s="278"/>
      <c r="K147" s="188"/>
      <c r="L147" s="188"/>
      <c r="N147" s="188"/>
      <c r="O147" s="243"/>
      <c r="P147" s="289"/>
      <c r="Q147" s="244"/>
      <c r="R147" s="244"/>
      <c r="S147" s="244"/>
      <c r="T147" s="188"/>
      <c r="U147" s="188"/>
      <c r="V147" s="188"/>
    </row>
    <row r="148" spans="1:22" x14ac:dyDescent="0.2">
      <c r="K148" s="188"/>
      <c r="L148" s="188"/>
      <c r="M148" s="241"/>
    </row>
    <row r="149" spans="1:22" x14ac:dyDescent="0.2">
      <c r="L149" s="188"/>
      <c r="M149" s="241"/>
    </row>
    <row r="150" spans="1:22" x14ac:dyDescent="0.2">
      <c r="L150" s="188"/>
      <c r="M150" s="241"/>
    </row>
    <row r="151" spans="1:22" x14ac:dyDescent="0.2">
      <c r="L151" s="188"/>
    </row>
    <row r="152" spans="1:22" x14ac:dyDescent="0.2">
      <c r="L152" s="188"/>
    </row>
    <row r="153" spans="1:22" x14ac:dyDescent="0.2">
      <c r="L153" s="188"/>
    </row>
  </sheetData>
  <conditionalFormatting sqref="P6:P11 Z6:Z11">
    <cfRule type="aboveAverage" dxfId="11" priority="3" aboveAverage="0" stdDev="1"/>
    <cfRule type="aboveAverage" dxfId="10" priority="4" stdDev="1"/>
  </conditionalFormatting>
  <conditionalFormatting sqref="P45:P58 Z45:Z58 B21:B44">
    <cfRule type="aboveAverage" dxfId="9" priority="5" aboveAverage="0" stdDev="1"/>
    <cfRule type="aboveAverage" dxfId="8" priority="6" stdDev="1"/>
  </conditionalFormatting>
  <conditionalFormatting sqref="C36">
    <cfRule type="aboveAverage" dxfId="7" priority="1" aboveAverage="0" stdDev="1"/>
    <cfRule type="aboveAverage" dxfId="6" priority="2" stdDev="1"/>
  </conditionalFormatting>
  <pageMargins left="0.7" right="0.7" top="0.75" bottom="0.75" header="0.3" footer="0.3"/>
  <pageSetup orientation="portrait"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K17</vt:lpstr>
      <vt:lpstr>K17A</vt:lpstr>
      <vt:lpstr>K17B</vt:lpstr>
      <vt:lpstr>K17C</vt:lpstr>
      <vt:lpstr>FedSampCores10-K17_2014.08.21</vt:lpstr>
      <vt:lpstr>FedSampCores10-K17_2014.06.07</vt:lpstr>
      <vt:lpstr>Probe13-K17A_2014.08.21</vt:lpstr>
      <vt:lpstr>FedSampCores13-K17B_2014.06.07</vt:lpstr>
      <vt:lpstr>FedSampCores13-K17B_2014.08.21</vt:lpstr>
      <vt:lpstr>Probe13-K17C_2014.06.07</vt:lpstr>
      <vt:lpstr>Probe13-K17C_2014.08.21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ehbaker</dc:creator>
  <cp:lastModifiedBy>ehbaker</cp:lastModifiedBy>
  <dcterms:created xsi:type="dcterms:W3CDTF">2019-06-11T00:41:42Z</dcterms:created>
  <dcterms:modified xsi:type="dcterms:W3CDTF">2019-10-30T21:38:39Z</dcterms:modified>
</cp:coreProperties>
</file>