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6.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E6EF26E3-1196-486E-B575-F28A9A4006BD}" xr6:coauthVersionLast="41" xr6:coauthVersionMax="41" xr10:uidLastSave="{00000000-0000-0000-0000-000000000000}"/>
  <bookViews>
    <workbookView xWindow="28680" yWindow="330" windowWidth="25440" windowHeight="15390" activeTab="3" xr2:uid="{ECEDBF3D-72FB-4023-9009-1A60DA2B6D8D}"/>
  </bookViews>
  <sheets>
    <sheet name="K17B" sheetId="1" r:id="rId1"/>
    <sheet name="K17A" sheetId="5" r:id="rId2"/>
    <sheet name="K17C" sheetId="6" r:id="rId3"/>
    <sheet name="K17" sheetId="13" r:id="rId4"/>
    <sheet name="K29" sheetId="8" r:id="rId5"/>
    <sheet name="K53" sheetId="11" r:id="rId6"/>
    <sheet name="FedSampCores13-K53_2015.06.16" sheetId="12" r:id="rId7"/>
    <sheet name="Probe13-K17C_2015.06.16" sheetId="7" r:id="rId8"/>
    <sheet name="Probe 14-K29C_2014.08.21" sheetId="9" r:id="rId9"/>
    <sheet name="FedSampCores13-K17B_2015.06.06" sheetId="2" r:id="rId10"/>
    <sheet name="FedSampCores14-K29C_2015.06.06" sheetId="10" r:id="rId11"/>
    <sheet name="FedSampCores13-K17B_2015.09.23" sheetId="4"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4" i="13" l="1"/>
  <c r="U14" i="13"/>
  <c r="T14" i="13"/>
  <c r="E31" i="8"/>
  <c r="E30" i="8"/>
  <c r="I30" i="8"/>
  <c r="L30" i="8"/>
  <c r="L31" i="8"/>
  <c r="N31" i="8"/>
  <c r="M31" i="8"/>
  <c r="V31" i="8"/>
  <c r="C42" i="8"/>
  <c r="C45" i="8"/>
  <c r="D42" i="8"/>
  <c r="P30" i="8"/>
  <c r="Q30" i="8"/>
  <c r="U30" i="8"/>
  <c r="C40" i="8"/>
  <c r="E29" i="8"/>
  <c r="N30" i="8"/>
  <c r="M30" i="8"/>
  <c r="W30" i="8"/>
  <c r="C44" i="8"/>
  <c r="D40" i="8"/>
  <c r="D41" i="8"/>
  <c r="I30" i="11"/>
  <c r="P30" i="11"/>
  <c r="Q30" i="11"/>
  <c r="U30" i="11"/>
  <c r="C36" i="11"/>
  <c r="E30" i="11"/>
  <c r="G30" i="11"/>
  <c r="L30" i="11"/>
  <c r="E29" i="11"/>
  <c r="N30" i="11"/>
  <c r="M30" i="11"/>
  <c r="W30" i="11"/>
  <c r="C40" i="11"/>
  <c r="D36" i="11"/>
  <c r="M31" i="11"/>
  <c r="E31" i="11"/>
  <c r="L31" i="11"/>
  <c r="N31" i="11"/>
  <c r="V31" i="11"/>
  <c r="C38" i="11"/>
  <c r="C41" i="11"/>
  <c r="D38" i="11"/>
  <c r="D37" i="11"/>
  <c r="T31" i="11"/>
  <c r="C37" i="11"/>
  <c r="I35" i="11"/>
  <c r="G35" i="11"/>
  <c r="E35" i="11"/>
  <c r="P32" i="11"/>
  <c r="X32" i="11"/>
  <c r="S30" i="11"/>
  <c r="I1" i="12"/>
  <c r="O12" i="12"/>
  <c r="E14" i="12"/>
  <c r="E13" i="12"/>
  <c r="E12" i="12"/>
  <c r="I3" i="12"/>
  <c r="I4" i="12"/>
  <c r="I2" i="12"/>
  <c r="C22" i="11"/>
  <c r="L22" i="11"/>
  <c r="N22" i="11"/>
  <c r="C13" i="11"/>
  <c r="L13" i="11"/>
  <c r="N13" i="11"/>
  <c r="O22" i="11"/>
  <c r="U22" i="11"/>
  <c r="I17" i="11"/>
  <c r="P17" i="11"/>
  <c r="S17" i="11"/>
  <c r="T17" i="11"/>
  <c r="T22" i="11"/>
  <c r="C21" i="11"/>
  <c r="L21" i="11"/>
  <c r="N21" i="11"/>
  <c r="C12" i="11"/>
  <c r="L12" i="11"/>
  <c r="N12" i="11"/>
  <c r="O21" i="11"/>
  <c r="U21" i="11"/>
  <c r="I16" i="11"/>
  <c r="P16" i="11"/>
  <c r="S16" i="11"/>
  <c r="T16" i="11"/>
  <c r="T21" i="11"/>
  <c r="C20" i="11"/>
  <c r="C10" i="11"/>
  <c r="P20" i="11"/>
  <c r="Q20" i="11"/>
  <c r="S20" i="11"/>
  <c r="T20" i="11"/>
  <c r="C15" i="11"/>
  <c r="L10" i="11"/>
  <c r="J15" i="11"/>
  <c r="P15" i="11"/>
  <c r="Q15" i="11"/>
  <c r="S15" i="11"/>
  <c r="T15" i="11"/>
  <c r="U20" i="11"/>
  <c r="L20" i="11"/>
  <c r="J20" i="11"/>
  <c r="V19" i="11"/>
  <c r="C19" i="11"/>
  <c r="C9" i="11"/>
  <c r="L9" i="11"/>
  <c r="J19" i="11"/>
  <c r="O19" i="11"/>
  <c r="U19" i="11"/>
  <c r="C14" i="11"/>
  <c r="J14" i="11"/>
  <c r="P14" i="11"/>
  <c r="S14" i="11"/>
  <c r="T14" i="11"/>
  <c r="T19" i="11"/>
  <c r="P19" i="11"/>
  <c r="L19" i="11"/>
  <c r="C18" i="11"/>
  <c r="C8" i="11"/>
  <c r="L8" i="11"/>
  <c r="J18" i="11"/>
  <c r="M18" i="11"/>
  <c r="O18" i="11"/>
  <c r="U18" i="11"/>
  <c r="P18" i="11"/>
  <c r="L18" i="11"/>
  <c r="C17" i="11"/>
  <c r="L17" i="11"/>
  <c r="N17" i="11"/>
  <c r="J17" i="11"/>
  <c r="H17" i="11"/>
  <c r="C16" i="11"/>
  <c r="L16" i="11"/>
  <c r="N16" i="11"/>
  <c r="J16" i="11"/>
  <c r="H16" i="11"/>
  <c r="L15" i="11"/>
  <c r="L14" i="11"/>
  <c r="I14" i="11"/>
  <c r="H14" i="11"/>
  <c r="T13" i="11"/>
  <c r="P13" i="11"/>
  <c r="T12" i="11"/>
  <c r="P12" i="11"/>
  <c r="T11" i="11"/>
  <c r="P11" i="11"/>
  <c r="C11" i="11"/>
  <c r="L11" i="11"/>
  <c r="N11" i="11"/>
  <c r="P10" i="11"/>
  <c r="Q10" i="11"/>
  <c r="S10" i="11"/>
  <c r="T10" i="11"/>
  <c r="M10" i="11"/>
  <c r="N10" i="11"/>
  <c r="J10" i="11"/>
  <c r="I9" i="11"/>
  <c r="P9" i="11"/>
  <c r="S9" i="11"/>
  <c r="T9" i="11"/>
  <c r="M9" i="11"/>
  <c r="N9" i="11"/>
  <c r="H9" i="11"/>
  <c r="P8" i="11"/>
  <c r="Q8" i="11"/>
  <c r="S8" i="11"/>
  <c r="T8" i="11"/>
  <c r="M8" i="11"/>
  <c r="N8" i="11"/>
  <c r="P7" i="11"/>
  <c r="Q7" i="11"/>
  <c r="S7" i="11"/>
  <c r="T7" i="11"/>
  <c r="C7" i="11"/>
  <c r="L7" i="11"/>
  <c r="M7" i="11"/>
  <c r="N7" i="11"/>
  <c r="O7" i="11"/>
  <c r="P6" i="11"/>
  <c r="Q6" i="11"/>
  <c r="S6" i="11"/>
  <c r="T6" i="11"/>
  <c r="U6" i="11"/>
  <c r="C6" i="11"/>
  <c r="L6" i="11"/>
  <c r="M6" i="11"/>
  <c r="N6" i="11"/>
  <c r="O6" i="11"/>
  <c r="T31" i="8"/>
  <c r="C41" i="8"/>
  <c r="I39" i="8"/>
  <c r="G39" i="8"/>
  <c r="E39" i="8"/>
  <c r="C12" i="8"/>
  <c r="C16" i="8"/>
  <c r="L12" i="8"/>
  <c r="J16" i="8"/>
  <c r="G30" i="8"/>
  <c r="I4" i="10"/>
  <c r="E13" i="10"/>
  <c r="I1" i="10"/>
  <c r="I3" i="10"/>
  <c r="O12" i="10"/>
  <c r="E12" i="10"/>
  <c r="I2" i="10"/>
  <c r="G29" i="8"/>
  <c r="I37" i="6"/>
  <c r="G37" i="6"/>
  <c r="E37" i="6"/>
  <c r="C22" i="8"/>
  <c r="L22" i="8"/>
  <c r="N22" i="8"/>
  <c r="C13" i="8"/>
  <c r="L13" i="8"/>
  <c r="N13" i="8"/>
  <c r="O22" i="8"/>
  <c r="U22" i="8"/>
  <c r="I17" i="8"/>
  <c r="P17" i="8"/>
  <c r="S17" i="8"/>
  <c r="T17" i="8"/>
  <c r="T22" i="8"/>
  <c r="C21" i="8"/>
  <c r="L21" i="8"/>
  <c r="N21" i="8"/>
  <c r="N12" i="8"/>
  <c r="O21" i="8"/>
  <c r="U21" i="8"/>
  <c r="I16" i="8"/>
  <c r="P16" i="8"/>
  <c r="S16" i="8"/>
  <c r="T16" i="8"/>
  <c r="T21" i="8"/>
  <c r="C20" i="8"/>
  <c r="C10" i="8"/>
  <c r="P20" i="8"/>
  <c r="Q20" i="8"/>
  <c r="S20" i="8"/>
  <c r="T20" i="8"/>
  <c r="C15" i="8"/>
  <c r="L10" i="8"/>
  <c r="J15" i="8"/>
  <c r="P15" i="8"/>
  <c r="Q15" i="8"/>
  <c r="S15" i="8"/>
  <c r="T15" i="8"/>
  <c r="U20" i="8"/>
  <c r="L20" i="8"/>
  <c r="J20" i="8"/>
  <c r="V19" i="8"/>
  <c r="C19" i="8"/>
  <c r="C9" i="8"/>
  <c r="L9" i="8"/>
  <c r="J19" i="8"/>
  <c r="O19" i="8"/>
  <c r="U19" i="8"/>
  <c r="C14" i="8"/>
  <c r="J14" i="8"/>
  <c r="P14" i="8"/>
  <c r="S14" i="8"/>
  <c r="T14" i="8"/>
  <c r="T19" i="8"/>
  <c r="P19" i="8"/>
  <c r="L19" i="8"/>
  <c r="C18" i="8"/>
  <c r="C8" i="8"/>
  <c r="L8" i="8"/>
  <c r="J18" i="8"/>
  <c r="M18" i="8"/>
  <c r="O18" i="8"/>
  <c r="U18" i="8"/>
  <c r="P18" i="8"/>
  <c r="L18" i="8"/>
  <c r="C17" i="8"/>
  <c r="L17" i="8"/>
  <c r="N17" i="8"/>
  <c r="J17" i="8"/>
  <c r="H17" i="8"/>
  <c r="L16" i="8"/>
  <c r="N16" i="8"/>
  <c r="H16" i="8"/>
  <c r="L15" i="8"/>
  <c r="L14" i="8"/>
  <c r="I14" i="8"/>
  <c r="H14" i="8"/>
  <c r="T13" i="8"/>
  <c r="P13" i="8"/>
  <c r="T12" i="8"/>
  <c r="P12" i="8"/>
  <c r="T11" i="8"/>
  <c r="P11" i="8"/>
  <c r="C11" i="8"/>
  <c r="L11" i="8"/>
  <c r="N11" i="8"/>
  <c r="P10" i="8"/>
  <c r="Q10" i="8"/>
  <c r="S10" i="8"/>
  <c r="T10" i="8"/>
  <c r="M10" i="8"/>
  <c r="N10" i="8"/>
  <c r="J10" i="8"/>
  <c r="I9" i="8"/>
  <c r="P9" i="8"/>
  <c r="S9" i="8"/>
  <c r="T9" i="8"/>
  <c r="M9" i="8"/>
  <c r="N9" i="8"/>
  <c r="H9" i="8"/>
  <c r="P8" i="8"/>
  <c r="Q8" i="8"/>
  <c r="S8" i="8"/>
  <c r="T8" i="8"/>
  <c r="M8" i="8"/>
  <c r="N8" i="8"/>
  <c r="P7" i="8"/>
  <c r="Q7" i="8"/>
  <c r="S7" i="8"/>
  <c r="T7" i="8"/>
  <c r="C7" i="8"/>
  <c r="L7" i="8"/>
  <c r="M7" i="8"/>
  <c r="N7" i="8"/>
  <c r="O7" i="8"/>
  <c r="P6" i="8"/>
  <c r="Q6" i="8"/>
  <c r="S6" i="8"/>
  <c r="T6" i="8"/>
  <c r="U6" i="8"/>
  <c r="C6" i="8"/>
  <c r="L6" i="8"/>
  <c r="M6" i="8"/>
  <c r="N6" i="8"/>
  <c r="O6" i="8"/>
  <c r="P32" i="6"/>
  <c r="X32" i="6"/>
  <c r="C43" i="6"/>
  <c r="E31" i="6"/>
  <c r="E29" i="6"/>
  <c r="P31" i="6"/>
  <c r="V31" i="6"/>
  <c r="C40" i="6"/>
  <c r="E30" i="6"/>
  <c r="L30" i="6"/>
  <c r="P30" i="6"/>
  <c r="U30" i="6"/>
  <c r="T32" i="6"/>
  <c r="C39" i="6"/>
  <c r="C38" i="6"/>
  <c r="C20" i="6"/>
  <c r="C10" i="6"/>
  <c r="P20" i="6"/>
  <c r="Q20" i="6"/>
  <c r="S20" i="6"/>
  <c r="T20" i="6"/>
  <c r="Q15" i="6"/>
  <c r="C15" i="6"/>
  <c r="L10" i="6"/>
  <c r="J15" i="6"/>
  <c r="P15" i="6"/>
  <c r="S15" i="6"/>
  <c r="T15" i="6"/>
  <c r="U20" i="6"/>
  <c r="S30" i="6"/>
  <c r="J20" i="6"/>
  <c r="G30" i="6"/>
  <c r="L29" i="6"/>
  <c r="C22" i="6"/>
  <c r="L22" i="6"/>
  <c r="N22" i="6"/>
  <c r="C13" i="6"/>
  <c r="L13" i="6"/>
  <c r="N13" i="6"/>
  <c r="O22" i="6"/>
  <c r="U22" i="6"/>
  <c r="I17" i="6"/>
  <c r="P17" i="6"/>
  <c r="S17" i="6"/>
  <c r="T17" i="6"/>
  <c r="T22" i="6"/>
  <c r="C21" i="6"/>
  <c r="L21" i="6"/>
  <c r="N21" i="6"/>
  <c r="C12" i="6"/>
  <c r="L12" i="6"/>
  <c r="N12" i="6"/>
  <c r="O21" i="6"/>
  <c r="U21" i="6"/>
  <c r="I16" i="6"/>
  <c r="P16" i="6"/>
  <c r="S16" i="6"/>
  <c r="T16" i="6"/>
  <c r="T21" i="6"/>
  <c r="L20" i="6"/>
  <c r="V19" i="6"/>
  <c r="C19" i="6"/>
  <c r="C9" i="6"/>
  <c r="L9" i="6"/>
  <c r="J19" i="6"/>
  <c r="O19" i="6"/>
  <c r="U19" i="6"/>
  <c r="C14" i="6"/>
  <c r="J14" i="6"/>
  <c r="P14" i="6"/>
  <c r="S14" i="6"/>
  <c r="T14" i="6"/>
  <c r="T19" i="6"/>
  <c r="P19" i="6"/>
  <c r="L19" i="6"/>
  <c r="C18" i="6"/>
  <c r="C8" i="6"/>
  <c r="L8" i="6"/>
  <c r="J18" i="6"/>
  <c r="M18" i="6"/>
  <c r="O18" i="6"/>
  <c r="U18" i="6"/>
  <c r="P18" i="6"/>
  <c r="L18" i="6"/>
  <c r="C17" i="6"/>
  <c r="L17" i="6"/>
  <c r="N17" i="6"/>
  <c r="J17" i="6"/>
  <c r="H17" i="6"/>
  <c r="C16" i="6"/>
  <c r="L16" i="6"/>
  <c r="N16" i="6"/>
  <c r="J16" i="6"/>
  <c r="H16" i="6"/>
  <c r="L15" i="6"/>
  <c r="L14" i="6"/>
  <c r="I14" i="6"/>
  <c r="H14" i="6"/>
  <c r="T13" i="6"/>
  <c r="P13" i="6"/>
  <c r="T12" i="6"/>
  <c r="P12" i="6"/>
  <c r="T11" i="6"/>
  <c r="P11" i="6"/>
  <c r="C11" i="6"/>
  <c r="L11" i="6"/>
  <c r="N11" i="6"/>
  <c r="P10" i="6"/>
  <c r="Q10" i="6"/>
  <c r="S10" i="6"/>
  <c r="T10" i="6"/>
  <c r="M10" i="6"/>
  <c r="N10" i="6"/>
  <c r="J10" i="6"/>
  <c r="I9" i="6"/>
  <c r="P9" i="6"/>
  <c r="S9" i="6"/>
  <c r="T9" i="6"/>
  <c r="M9" i="6"/>
  <c r="N9" i="6"/>
  <c r="H9" i="6"/>
  <c r="P8" i="6"/>
  <c r="Q8" i="6"/>
  <c r="S8" i="6"/>
  <c r="T8" i="6"/>
  <c r="M8" i="6"/>
  <c r="N8" i="6"/>
  <c r="P7" i="6"/>
  <c r="Q7" i="6"/>
  <c r="S7" i="6"/>
  <c r="T7" i="6"/>
  <c r="C7" i="6"/>
  <c r="L7" i="6"/>
  <c r="M7" i="6"/>
  <c r="N7" i="6"/>
  <c r="O7" i="6"/>
  <c r="P6" i="6"/>
  <c r="Q6" i="6"/>
  <c r="S6" i="6"/>
  <c r="T6" i="6"/>
  <c r="U6" i="6"/>
  <c r="C6" i="6"/>
  <c r="L6" i="6"/>
  <c r="M6" i="6"/>
  <c r="N6" i="6"/>
  <c r="O6" i="6"/>
  <c r="P32" i="5"/>
  <c r="X32" i="5"/>
  <c r="C41" i="5"/>
  <c r="C39" i="5"/>
  <c r="E31" i="5"/>
  <c r="E29" i="5"/>
  <c r="P31" i="5"/>
  <c r="V31" i="5"/>
  <c r="C38" i="5"/>
  <c r="I35" i="5"/>
  <c r="E35" i="5"/>
  <c r="C18" i="5"/>
  <c r="C8" i="5"/>
  <c r="L8" i="5"/>
  <c r="J18" i="5"/>
  <c r="P29" i="5"/>
  <c r="L29" i="5"/>
  <c r="M18" i="5"/>
  <c r="O18" i="5"/>
  <c r="U18" i="5"/>
  <c r="G32" i="1"/>
  <c r="P32" i="1"/>
  <c r="Q32" i="1"/>
  <c r="X32" i="1"/>
  <c r="M30" i="1"/>
  <c r="E30" i="1"/>
  <c r="I30" i="1"/>
  <c r="L30" i="1"/>
  <c r="E29" i="1"/>
  <c r="N30" i="1"/>
  <c r="W30" i="1"/>
  <c r="P30" i="1"/>
  <c r="Q30" i="1"/>
  <c r="U30" i="1"/>
  <c r="M31" i="1"/>
  <c r="E31" i="1"/>
  <c r="L31" i="1"/>
  <c r="N31" i="1"/>
  <c r="V31" i="1"/>
  <c r="C19" i="1"/>
  <c r="C9" i="1"/>
  <c r="L9" i="1"/>
  <c r="J19" i="1"/>
  <c r="O19" i="1"/>
  <c r="U19" i="1"/>
  <c r="C14" i="1"/>
  <c r="J14" i="1"/>
  <c r="P14" i="1"/>
  <c r="S14" i="1"/>
  <c r="T14" i="1"/>
  <c r="T19" i="1"/>
  <c r="Q20" i="1"/>
  <c r="C20" i="1"/>
  <c r="C10" i="1"/>
  <c r="P20" i="1"/>
  <c r="S20" i="1"/>
  <c r="C22" i="5"/>
  <c r="L22" i="5"/>
  <c r="N22" i="5"/>
  <c r="C13" i="5"/>
  <c r="L13" i="5"/>
  <c r="N13" i="5"/>
  <c r="O22" i="5"/>
  <c r="U22" i="5"/>
  <c r="I17" i="5"/>
  <c r="P17" i="5"/>
  <c r="S17" i="5"/>
  <c r="T17" i="5"/>
  <c r="T22" i="5"/>
  <c r="C21" i="5"/>
  <c r="L21" i="5"/>
  <c r="N21" i="5"/>
  <c r="C12" i="5"/>
  <c r="L12" i="5"/>
  <c r="N12" i="5"/>
  <c r="O21" i="5"/>
  <c r="U21" i="5"/>
  <c r="I16" i="5"/>
  <c r="P16" i="5"/>
  <c r="S16" i="5"/>
  <c r="T16" i="5"/>
  <c r="T21" i="5"/>
  <c r="C20" i="5"/>
  <c r="C10" i="5"/>
  <c r="P20" i="5"/>
  <c r="Q20" i="5"/>
  <c r="S20" i="5"/>
  <c r="T20" i="5"/>
  <c r="C15" i="5"/>
  <c r="L10" i="5"/>
  <c r="J15" i="5"/>
  <c r="P15" i="5"/>
  <c r="Q15" i="5"/>
  <c r="S15" i="5"/>
  <c r="T15" i="5"/>
  <c r="U20" i="5"/>
  <c r="L20" i="5"/>
  <c r="J20" i="5"/>
  <c r="V19" i="5"/>
  <c r="C19" i="5"/>
  <c r="C9" i="5"/>
  <c r="L9" i="5"/>
  <c r="J19" i="5"/>
  <c r="O19" i="5"/>
  <c r="U19" i="5"/>
  <c r="C14" i="5"/>
  <c r="J14" i="5"/>
  <c r="P14" i="5"/>
  <c r="S14" i="5"/>
  <c r="T14" i="5"/>
  <c r="T19" i="5"/>
  <c r="P19" i="5"/>
  <c r="L19" i="5"/>
  <c r="P18" i="5"/>
  <c r="L18" i="5"/>
  <c r="C17" i="5"/>
  <c r="L17" i="5"/>
  <c r="N17" i="5"/>
  <c r="J17" i="5"/>
  <c r="H17" i="5"/>
  <c r="C16" i="5"/>
  <c r="L16" i="5"/>
  <c r="N16" i="5"/>
  <c r="J16" i="5"/>
  <c r="H16" i="5"/>
  <c r="L15" i="5"/>
  <c r="L14" i="5"/>
  <c r="I14" i="5"/>
  <c r="H14" i="5"/>
  <c r="T13" i="5"/>
  <c r="P13" i="5"/>
  <c r="T12" i="5"/>
  <c r="P12" i="5"/>
  <c r="T11" i="5"/>
  <c r="P11" i="5"/>
  <c r="C11" i="5"/>
  <c r="L11" i="5"/>
  <c r="N11" i="5"/>
  <c r="P10" i="5"/>
  <c r="Q10" i="5"/>
  <c r="S10" i="5"/>
  <c r="T10" i="5"/>
  <c r="M10" i="5"/>
  <c r="N10" i="5"/>
  <c r="J10" i="5"/>
  <c r="I9" i="5"/>
  <c r="P9" i="5"/>
  <c r="S9" i="5"/>
  <c r="T9" i="5"/>
  <c r="M9" i="5"/>
  <c r="N9" i="5"/>
  <c r="H9" i="5"/>
  <c r="P8" i="5"/>
  <c r="Q8" i="5"/>
  <c r="S8" i="5"/>
  <c r="T8" i="5"/>
  <c r="M8" i="5"/>
  <c r="N8" i="5"/>
  <c r="P7" i="5"/>
  <c r="Q7" i="5"/>
  <c r="S7" i="5"/>
  <c r="T7" i="5"/>
  <c r="C7" i="5"/>
  <c r="L7" i="5"/>
  <c r="M7" i="5"/>
  <c r="N7" i="5"/>
  <c r="O7" i="5"/>
  <c r="P6" i="5"/>
  <c r="Q6" i="5"/>
  <c r="S6" i="5"/>
  <c r="T6" i="5"/>
  <c r="U6" i="5"/>
  <c r="C6" i="5"/>
  <c r="L6" i="5"/>
  <c r="M6" i="5"/>
  <c r="N6" i="5"/>
  <c r="O6" i="5"/>
  <c r="I35" i="1"/>
  <c r="G35" i="1"/>
  <c r="E35" i="1"/>
  <c r="C41" i="1"/>
  <c r="C40" i="1"/>
  <c r="C39" i="1"/>
  <c r="C38" i="1"/>
  <c r="T32" i="1"/>
  <c r="C37" i="1"/>
  <c r="C36" i="1"/>
  <c r="S31" i="1"/>
  <c r="J20" i="4"/>
  <c r="J21" i="4"/>
  <c r="J18" i="4"/>
  <c r="J19" i="4"/>
  <c r="J17" i="4"/>
  <c r="H17" i="4"/>
  <c r="I17" i="4"/>
  <c r="G31" i="1"/>
  <c r="E32" i="1"/>
  <c r="I1" i="4"/>
  <c r="T12" i="4"/>
  <c r="I4" i="4"/>
  <c r="G17" i="4"/>
  <c r="G18" i="4"/>
  <c r="H18" i="4"/>
  <c r="I18" i="4"/>
  <c r="G19" i="4"/>
  <c r="H19" i="4"/>
  <c r="I19" i="4"/>
  <c r="G20" i="4"/>
  <c r="H20" i="4"/>
  <c r="I20" i="4"/>
  <c r="G21" i="4"/>
  <c r="H21" i="4"/>
  <c r="I21" i="4"/>
  <c r="G14" i="4"/>
  <c r="H14" i="4"/>
  <c r="G15" i="4"/>
  <c r="H15" i="4"/>
  <c r="I15" i="4"/>
  <c r="J15" i="4"/>
  <c r="G16" i="4"/>
  <c r="H16" i="4"/>
  <c r="I16" i="4"/>
  <c r="J16" i="4"/>
  <c r="I14" i="4"/>
  <c r="J14" i="4"/>
  <c r="E21" i="4"/>
  <c r="E20" i="4"/>
  <c r="E19" i="4"/>
  <c r="E18" i="4"/>
  <c r="F19" i="4"/>
  <c r="F20" i="4"/>
  <c r="F21" i="4"/>
  <c r="F15" i="4"/>
  <c r="F16" i="4"/>
  <c r="F17" i="4"/>
  <c r="F18" i="4"/>
  <c r="F14" i="4"/>
  <c r="E15" i="4"/>
  <c r="E16" i="4"/>
  <c r="E17" i="4"/>
  <c r="I3" i="4"/>
  <c r="I2" i="4"/>
  <c r="S30" i="1"/>
  <c r="E13" i="2"/>
  <c r="E14" i="2"/>
  <c r="E12" i="2"/>
  <c r="I3" i="2"/>
  <c r="I1" i="2"/>
  <c r="O12" i="2"/>
  <c r="I4" i="2"/>
  <c r="I2" i="2"/>
  <c r="P29" i="1"/>
  <c r="V29" i="1"/>
  <c r="L29" i="1"/>
  <c r="C22" i="1"/>
  <c r="L22" i="1"/>
  <c r="N22" i="1"/>
  <c r="C13" i="1"/>
  <c r="L13" i="1"/>
  <c r="N13" i="1"/>
  <c r="O22" i="1"/>
  <c r="U22" i="1"/>
  <c r="I17" i="1"/>
  <c r="P17" i="1"/>
  <c r="S17" i="1"/>
  <c r="T17" i="1"/>
  <c r="T22" i="1"/>
  <c r="C21" i="1"/>
  <c r="L21" i="1"/>
  <c r="N21" i="1"/>
  <c r="C12" i="1"/>
  <c r="L12" i="1"/>
  <c r="N12" i="1"/>
  <c r="O21" i="1"/>
  <c r="U21" i="1"/>
  <c r="I16" i="1"/>
  <c r="P16" i="1"/>
  <c r="S16" i="1"/>
  <c r="T16" i="1"/>
  <c r="T21" i="1"/>
  <c r="T20" i="1"/>
  <c r="C15" i="1"/>
  <c r="L10" i="1"/>
  <c r="J15" i="1"/>
  <c r="P15" i="1"/>
  <c r="Q15" i="1"/>
  <c r="S15" i="1"/>
  <c r="T15" i="1"/>
  <c r="U20" i="1"/>
  <c r="L20" i="1"/>
  <c r="J20" i="1"/>
  <c r="V19" i="1"/>
  <c r="P19" i="1"/>
  <c r="L19" i="1"/>
  <c r="C18" i="1"/>
  <c r="C8" i="1"/>
  <c r="L8" i="1"/>
  <c r="J18" i="1"/>
  <c r="M18" i="1"/>
  <c r="O18" i="1"/>
  <c r="U18" i="1"/>
  <c r="P18" i="1"/>
  <c r="L18" i="1"/>
  <c r="C17" i="1"/>
  <c r="L17" i="1"/>
  <c r="N17" i="1"/>
  <c r="J17" i="1"/>
  <c r="H17" i="1"/>
  <c r="C16" i="1"/>
  <c r="L16" i="1"/>
  <c r="N16" i="1"/>
  <c r="J16" i="1"/>
  <c r="H16" i="1"/>
  <c r="L15" i="1"/>
  <c r="L14" i="1"/>
  <c r="I14" i="1"/>
  <c r="H14" i="1"/>
  <c r="T13" i="1"/>
  <c r="P13" i="1"/>
  <c r="T12" i="1"/>
  <c r="P12" i="1"/>
  <c r="T11" i="1"/>
  <c r="P11" i="1"/>
  <c r="C11" i="1"/>
  <c r="L11" i="1"/>
  <c r="N11" i="1"/>
  <c r="P10" i="1"/>
  <c r="Q10" i="1"/>
  <c r="S10" i="1"/>
  <c r="T10" i="1"/>
  <c r="M10" i="1"/>
  <c r="N10" i="1"/>
  <c r="J10" i="1"/>
  <c r="I9" i="1"/>
  <c r="P9" i="1"/>
  <c r="S9" i="1"/>
  <c r="T9" i="1"/>
  <c r="M9" i="1"/>
  <c r="N9" i="1"/>
  <c r="H9" i="1"/>
  <c r="P8" i="1"/>
  <c r="Q8" i="1"/>
  <c r="S8" i="1"/>
  <c r="T8" i="1"/>
  <c r="M8" i="1"/>
  <c r="N8" i="1"/>
  <c r="P7" i="1"/>
  <c r="Q7" i="1"/>
  <c r="S7" i="1"/>
  <c r="T7" i="1"/>
  <c r="C7" i="1"/>
  <c r="L7" i="1"/>
  <c r="M7" i="1"/>
  <c r="N7" i="1"/>
  <c r="O7" i="1"/>
  <c r="P6" i="1"/>
  <c r="Q6" i="1"/>
  <c r="S6" i="1"/>
  <c r="T6" i="1"/>
  <c r="U6" i="1"/>
  <c r="C6" i="1"/>
  <c r="L6" i="1"/>
  <c r="M6" i="1"/>
  <c r="N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56FBAF35-C098-4968-8A10-FA5DB01F16DA}">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CD004F7A-E0C1-42A6-A435-E72F81ED1189}">
      <text>
        <r>
          <rPr>
            <sz val="8"/>
            <color indexed="81"/>
            <rFont val="Tahoma"/>
            <family val="2"/>
          </rPr>
          <t>This is the amount of snow that is above the summer surface.  The value should always be positive or zero.</t>
        </r>
      </text>
    </comment>
    <comment ref="A3" authorId="0" shapeId="0" xr:uid="{9D087A0D-388A-4CBA-8FAA-12DE9F39602C}">
      <text>
        <r>
          <rPr>
            <b/>
            <sz val="8"/>
            <color indexed="81"/>
            <rFont val="Tahoma"/>
            <family val="2"/>
          </rPr>
          <t>GAAdmin:</t>
        </r>
        <r>
          <rPr>
            <sz val="8"/>
            <color indexed="81"/>
            <rFont val="Tahoma"/>
            <family val="2"/>
          </rPr>
          <t xml:space="preserve">
The stake with which the observations were made.</t>
        </r>
      </text>
    </comment>
    <comment ref="B3" authorId="0" shapeId="0" xr:uid="{5D14521D-42BC-4E1C-9070-B493B4574608}">
      <text>
        <r>
          <rPr>
            <b/>
            <sz val="8"/>
            <color indexed="81"/>
            <rFont val="Tahoma"/>
            <family val="2"/>
          </rPr>
          <t>GAAdmin:</t>
        </r>
        <r>
          <rPr>
            <sz val="8"/>
            <color indexed="81"/>
            <rFont val="Tahoma"/>
            <family val="2"/>
          </rPr>
          <t xml:space="preserve">
Date of observations</t>
        </r>
      </text>
    </comment>
    <comment ref="C3" authorId="0" shapeId="0" xr:uid="{5C02292E-0CB1-4A98-97B2-7EFE9A1DECF8}">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FFD9E9C6-3733-44C0-983B-F2A39316A5E8}">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5F4156DE-DF92-4122-ACA0-0FCC564DB553}">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B0096D6-79FC-4521-A1EE-4EAE7B3EAE76}">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2E3AAB09-E087-440D-A203-FD47A150B2E6}">
      <text>
        <r>
          <rPr>
            <b/>
            <sz val="8"/>
            <color indexed="81"/>
            <rFont val="Tahoma"/>
            <family val="2"/>
          </rPr>
          <t>GAAdmin:</t>
        </r>
        <r>
          <rPr>
            <sz val="8"/>
            <color indexed="81"/>
            <rFont val="Tahoma"/>
            <family val="2"/>
          </rPr>
          <t xml:space="preserve">
Average depth of snow from probing
</t>
        </r>
      </text>
    </comment>
    <comment ref="I3" authorId="0" shapeId="0" xr:uid="{080AC47A-ADA2-4385-95A8-CD82A6886B83}">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85F7BA2F-5496-49D9-807D-5852BA9666CF}">
      <text>
        <r>
          <rPr>
            <b/>
            <sz val="8"/>
            <color indexed="81"/>
            <rFont val="Tahoma"/>
            <family val="2"/>
          </rPr>
          <t>GAAdmin:</t>
        </r>
        <r>
          <rPr>
            <sz val="8"/>
            <color indexed="81"/>
            <rFont val="Tahoma"/>
            <family val="2"/>
          </rPr>
          <t xml:space="preserve">
number of observations of snow depth</t>
        </r>
      </text>
    </comment>
    <comment ref="L3" authorId="0" shapeId="0" xr:uid="{6E464712-BAB0-46C6-867C-5110D9F25AAE}">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71BEF4CA-21AF-4B33-8B8A-295108506DFB}">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821EB014-3766-49FA-A5FC-FA61E159265A}">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5C35BC3F-52B6-428F-BCBF-33E9A1B0CA54}">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40FB9D00-110A-47B6-9D7E-CA4F11CD5037}">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F00D72F2-4F42-4ADB-82A7-CD31E54EEB26}">
      <text>
        <r>
          <rPr>
            <sz val="8"/>
            <color indexed="81"/>
            <rFont val="Tahoma"/>
            <family val="2"/>
          </rPr>
          <t>Average density of the material above ss.</t>
        </r>
      </text>
    </comment>
    <comment ref="R3" authorId="0" shapeId="0" xr:uid="{59923A1A-6824-4DE3-AD1D-15C936758B02}">
      <text>
        <r>
          <rPr>
            <b/>
            <sz val="8"/>
            <color indexed="81"/>
            <rFont val="Tahoma"/>
            <family val="2"/>
          </rPr>
          <t>GAAdmin:</t>
        </r>
        <r>
          <rPr>
            <sz val="8"/>
            <color indexed="81"/>
            <rFont val="Tahoma"/>
            <family val="2"/>
          </rPr>
          <t xml:space="preserve">
Is the Density Estimated (E) or is it Measured (M) ?</t>
        </r>
      </text>
    </comment>
    <comment ref="S3" authorId="0" shapeId="0" xr:uid="{B49D45BB-399D-4952-9C26-1E50BE807A64}">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22BB7600-ACFD-4178-A2F5-B8CFE9A29E7C}">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099693A3-F812-40CC-A3B4-3B55C931E661}">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CFB3DB5D-499D-49CC-9D3E-F537C460BC57}">
      <text/>
    </comment>
    <comment ref="J5" authorId="1" shapeId="0" xr:uid="{4AA9D202-EBFA-4B39-87E9-A1FAF32FD851}">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J6" authorId="1" shapeId="0" xr:uid="{97DB15B3-3A1D-4216-BF7D-D262E05CF82A}">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J14" authorId="1" shapeId="0" xr:uid="{C4056442-32FD-401F-A56B-13532E65D4F9}">
      <text>
        <r>
          <rPr>
            <b/>
            <sz val="9"/>
            <color indexed="81"/>
            <rFont val="Tahoma"/>
            <family val="2"/>
          </rPr>
          <t>Rob Burrows:</t>
        </r>
        <r>
          <rPr>
            <sz val="9"/>
            <color indexed="81"/>
            <rFont val="Tahoma"/>
            <family val="2"/>
          </rPr>
          <t xml:space="preserve">
These values show that snow probing penetrated into the new firn by up to 1.12 m.  Will use the previous fall's b'ss instead for any calcs.</t>
        </r>
      </text>
    </comment>
    <comment ref="Q14" authorId="1" shapeId="0" xr:uid="{8002D08E-70DC-48D6-99E5-A7327CBE8B49}">
      <text>
        <r>
          <rPr>
            <b/>
            <sz val="9"/>
            <color indexed="81"/>
            <rFont val="Tahoma"/>
            <family val="2"/>
          </rPr>
          <t>Rob Burrows:</t>
        </r>
        <r>
          <rPr>
            <sz val="9"/>
            <color indexed="81"/>
            <rFont val="Tahoma"/>
            <family val="2"/>
          </rPr>
          <t xml:space="preserve">
Iso thermal and "wet" snow.</t>
        </r>
      </text>
    </comment>
    <comment ref="Q15" authorId="1" shapeId="0" xr:uid="{5503ACEA-3EAE-4202-BCDC-37F62FA02174}">
      <text>
        <r>
          <rPr>
            <b/>
            <sz val="9"/>
            <color indexed="81"/>
            <rFont val="Tahoma"/>
            <family val="2"/>
          </rPr>
          <t>Rob Burrows:</t>
        </r>
        <r>
          <rPr>
            <sz val="9"/>
            <color indexed="81"/>
            <rFont val="Tahoma"/>
            <family val="2"/>
          </rPr>
          <t xml:space="preserve">
Iso thermal and "wet" snow.</t>
        </r>
      </text>
    </comment>
    <comment ref="J16" authorId="1" shapeId="0" xr:uid="{AF4DC6F8-0F28-427F-A23D-89F23F20F7D7}">
      <text>
        <r>
          <rPr>
            <b/>
            <sz val="9"/>
            <color indexed="81"/>
            <rFont val="Tahoma"/>
            <family val="2"/>
          </rPr>
          <t>Rob Burrows:</t>
        </r>
        <r>
          <rPr>
            <sz val="9"/>
            <color indexed="81"/>
            <rFont val="Tahoma"/>
            <family val="2"/>
          </rPr>
          <t xml:space="preserve">
This is likely ice loss that occurred after the fall 2014 visit.</t>
        </r>
      </text>
    </comment>
    <comment ref="Q16" authorId="1" shapeId="0" xr:uid="{DA616EBD-05AE-4634-B2F6-9E50C6C6A8E8}">
      <text>
        <r>
          <rPr>
            <b/>
            <sz val="9"/>
            <color indexed="81"/>
            <rFont val="Tahoma"/>
            <family val="2"/>
          </rPr>
          <t>Rob Burrows:</t>
        </r>
        <r>
          <rPr>
            <sz val="9"/>
            <color indexed="81"/>
            <rFont val="Tahoma"/>
            <family val="2"/>
          </rPr>
          <t xml:space="preserve">
Highly water saturated snow, particularly at the base of the snowpack.</t>
        </r>
      </text>
    </comment>
    <comment ref="J17" authorId="1" shapeId="0" xr:uid="{988462DE-5642-47E0-84B5-E3B8340020F7}">
      <text>
        <r>
          <rPr>
            <b/>
            <sz val="9"/>
            <color indexed="81"/>
            <rFont val="Tahoma"/>
            <family val="2"/>
          </rPr>
          <t>Rob Burrows:</t>
        </r>
        <r>
          <rPr>
            <sz val="9"/>
            <color indexed="81"/>
            <rFont val="Tahoma"/>
            <family val="2"/>
          </rPr>
          <t xml:space="preserve">
This is likely ice loss that occurred after the fall 2014 visit.</t>
        </r>
      </text>
    </comment>
    <comment ref="Q17" authorId="1" shapeId="0" xr:uid="{E82AB6B2-12BF-414D-BB31-6CA805AC46C7}">
      <text>
        <r>
          <rPr>
            <b/>
            <sz val="9"/>
            <color indexed="81"/>
            <rFont val="Tahoma"/>
            <family val="2"/>
          </rPr>
          <t>Rob Burrows:</t>
        </r>
        <r>
          <rPr>
            <sz val="9"/>
            <color indexed="81"/>
            <rFont val="Tahoma"/>
            <family val="2"/>
          </rPr>
          <t xml:space="preserve">
Highly water saturated snow, particularly at the base of the snowpack.</t>
        </r>
      </text>
    </comment>
    <comment ref="M18" authorId="1" shapeId="0" xr:uid="{FF28F656-F5B3-49B0-8791-8BC02009B403}">
      <text>
        <r>
          <rPr>
            <b/>
            <sz val="9"/>
            <color indexed="81"/>
            <rFont val="Tahoma"/>
            <family val="2"/>
          </rPr>
          <t>Rob Burrows:</t>
        </r>
        <r>
          <rPr>
            <sz val="9"/>
            <color indexed="81"/>
            <rFont val="Tahoma"/>
            <family val="2"/>
          </rPr>
          <t xml:space="preserve">
estimated based on measurements at stake 17-B</t>
        </r>
      </text>
    </comment>
    <comment ref="M19" authorId="1" shapeId="0" xr:uid="{22377019-E217-4FD6-A58C-406E89015686}">
      <text>
        <r>
          <rPr>
            <b/>
            <sz val="9"/>
            <color indexed="81"/>
            <rFont val="Tahoma"/>
            <family val="2"/>
          </rPr>
          <t>Rob Burrows:</t>
        </r>
        <r>
          <rPr>
            <sz val="9"/>
            <color indexed="81"/>
            <rFont val="Tahoma"/>
            <family val="2"/>
          </rPr>
          <t xml:space="preserve">
Measured density of 1.2 m of remaining firn
</t>
        </r>
      </text>
    </comment>
    <comment ref="A26" authorId="0" shapeId="0" xr:uid="{3BFEE8FB-C61E-4C7A-B4A1-7F9439B3E483}">
      <text>
        <r>
          <rPr>
            <b/>
            <sz val="8"/>
            <color indexed="81"/>
            <rFont val="Tahoma"/>
            <family val="2"/>
          </rPr>
          <t>GAAdmin:</t>
        </r>
        <r>
          <rPr>
            <sz val="8"/>
            <color indexed="81"/>
            <rFont val="Tahoma"/>
            <family val="2"/>
          </rPr>
          <t xml:space="preserve">
The stake with which the observations were made.</t>
        </r>
      </text>
    </comment>
    <comment ref="B26" authorId="0" shapeId="0" xr:uid="{A98DA29C-AD2F-4C31-A047-421BADF0A004}">
      <text>
        <r>
          <rPr>
            <b/>
            <sz val="8"/>
            <color indexed="81"/>
            <rFont val="Tahoma"/>
            <family val="2"/>
          </rPr>
          <t>GAAdmin:</t>
        </r>
        <r>
          <rPr>
            <sz val="8"/>
            <color indexed="81"/>
            <rFont val="Tahoma"/>
            <family val="2"/>
          </rPr>
          <t xml:space="preserve">
Date of observations</t>
        </r>
      </text>
    </comment>
    <comment ref="C26" authorId="2" shapeId="0" xr:uid="{DD1DEE8D-6C50-40D9-9439-99ED10972551}">
      <text>
        <r>
          <rPr>
            <b/>
            <sz val="9"/>
            <color indexed="81"/>
            <rFont val="Tahoma"/>
            <family val="2"/>
          </rPr>
          <t>cmcneil:</t>
        </r>
        <r>
          <rPr>
            <sz val="9"/>
            <color indexed="81"/>
            <rFont val="Tahoma"/>
            <family val="2"/>
          </rPr>
          <t xml:space="preserve">
Total length of stake</t>
        </r>
      </text>
    </comment>
    <comment ref="D26" authorId="2" shapeId="0" xr:uid="{2144F5B7-4D68-4417-97BA-74618BF0106E}">
      <text>
        <r>
          <rPr>
            <b/>
            <sz val="9"/>
            <color indexed="81"/>
            <rFont val="Tahoma"/>
            <family val="2"/>
          </rPr>
          <t>cmcneil:</t>
        </r>
        <r>
          <rPr>
            <sz val="9"/>
            <color indexed="81"/>
            <rFont val="Tahoma"/>
            <family val="2"/>
          </rPr>
          <t xml:space="preserve">
Length of stake above the surface noted in column D</t>
        </r>
      </text>
    </comment>
    <comment ref="E26" authorId="2" shapeId="0" xr:uid="{C228A610-093B-4914-A443-A7CE06DBBF27}">
      <text>
        <r>
          <rPr>
            <b/>
            <sz val="9"/>
            <color indexed="81"/>
            <rFont val="Tahoma"/>
            <family val="2"/>
          </rPr>
          <t>cmcneil:</t>
        </r>
        <r>
          <rPr>
            <sz val="9"/>
            <color indexed="81"/>
            <rFont val="Tahoma"/>
            <family val="2"/>
          </rPr>
          <t xml:space="preserve">
Length of stake still below the surface noted in column D</t>
        </r>
      </text>
    </comment>
    <comment ref="F26" authorId="0" shapeId="0" xr:uid="{76C9FFBD-EBA4-42AE-93BC-747212B1420C}">
      <text>
        <r>
          <rPr>
            <sz val="8"/>
            <color indexed="81"/>
            <rFont val="Tahoma"/>
            <family val="2"/>
          </rPr>
          <t>Type of surface strata:
Glacier Ice, Snow, Superimposed Ice, Old Firn or New Firn.  For the Fall surveys this should be the surface strata beneath any fresh snow.</t>
        </r>
      </text>
    </comment>
    <comment ref="G26" authorId="0" shapeId="0" xr:uid="{DF3F6590-8238-484E-B599-1E542176E2F3}">
      <text>
        <r>
          <rPr>
            <b/>
            <sz val="8"/>
            <color indexed="81"/>
            <rFont val="Tahoma"/>
            <family val="2"/>
          </rPr>
          <t>GAAdmin:</t>
        </r>
        <r>
          <rPr>
            <sz val="8"/>
            <color indexed="81"/>
            <rFont val="Tahoma"/>
            <family val="2"/>
          </rPr>
          <t xml:space="preserve">
Average depth of snow as determined in snow pit.</t>
        </r>
      </text>
    </comment>
    <comment ref="H26" authorId="0" shapeId="0" xr:uid="{BBF67512-A0C8-48E1-8EDD-380DC2D44ABD}">
      <text>
        <r>
          <rPr>
            <b/>
            <sz val="8"/>
            <color indexed="81"/>
            <rFont val="Tahoma"/>
            <family val="2"/>
          </rPr>
          <t>GAAdmin:</t>
        </r>
        <r>
          <rPr>
            <sz val="8"/>
            <color indexed="81"/>
            <rFont val="Tahoma"/>
            <family val="2"/>
          </rPr>
          <t xml:space="preserve">
Average depth of snow from probing
</t>
        </r>
      </text>
    </comment>
    <comment ref="I26" authorId="0" shapeId="0" xr:uid="{CA729B58-0EEF-49B4-BAC2-203115AB2F0E}">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6" authorId="0" shapeId="0" xr:uid="{45E3EF1D-E8C4-497C-B9F2-397D3F1C5C3B}">
      <text>
        <r>
          <rPr>
            <b/>
            <sz val="8"/>
            <color indexed="81"/>
            <rFont val="Tahoma"/>
            <family val="2"/>
          </rPr>
          <t>GAAdmin:</t>
        </r>
        <r>
          <rPr>
            <sz val="8"/>
            <color indexed="81"/>
            <rFont val="Tahoma"/>
            <family val="2"/>
          </rPr>
          <t xml:space="preserve">
Standard Error</t>
        </r>
      </text>
    </comment>
    <comment ref="K26" authorId="0" shapeId="0" xr:uid="{C9B8BAAB-6698-45A8-8187-A5493A629DF1}">
      <text>
        <r>
          <rPr>
            <b/>
            <sz val="8"/>
            <color indexed="81"/>
            <rFont val="Tahoma"/>
            <family val="2"/>
          </rPr>
          <t>GAAdmin:</t>
        </r>
        <r>
          <rPr>
            <sz val="8"/>
            <color indexed="81"/>
            <rFont val="Tahoma"/>
            <family val="2"/>
          </rPr>
          <t xml:space="preserve">
number of observations of snow depth</t>
        </r>
      </text>
    </comment>
    <comment ref="M26" authorId="0" shapeId="0" xr:uid="{F39593C9-D730-4040-B95B-9880ACC72949}">
      <text>
        <r>
          <rPr>
            <b/>
            <sz val="8"/>
            <color indexed="81"/>
            <rFont val="Tahoma"/>
            <family val="2"/>
          </rPr>
          <t>GAAdmin:</t>
        </r>
        <r>
          <rPr>
            <sz val="8"/>
            <color indexed="81"/>
            <rFont val="Tahoma"/>
            <family val="2"/>
          </rPr>
          <t xml:space="preserve">
This density is estimated and is based on the surface strata of the previous survey.</t>
        </r>
      </text>
    </comment>
    <comment ref="O26" authorId="0" shapeId="0" xr:uid="{B3A73767-B52A-47EB-BB3C-17CE4B6CDAF4}">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6" authorId="0" shapeId="0" xr:uid="{87988879-B2E1-4C6C-9453-529262C9320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6" authorId="0" shapeId="0" xr:uid="{001667E7-9F68-4804-9C97-4564B8FD5EFD}">
      <text>
        <r>
          <rPr>
            <sz val="8"/>
            <color indexed="81"/>
            <rFont val="Tahoma"/>
            <family val="2"/>
          </rPr>
          <t>Average density of the material above ss.</t>
        </r>
      </text>
    </comment>
    <comment ref="S26" authorId="3" shapeId="0" xr:uid="{758D722D-CE8C-466F-A709-F1CAA5755251}">
      <text>
        <r>
          <rPr>
            <b/>
            <sz val="9"/>
            <color indexed="81"/>
            <rFont val="Tahoma"/>
            <family val="2"/>
          </rPr>
          <t xml:space="preserve">ehbaker:
</t>
        </r>
        <r>
          <rPr>
            <sz val="9"/>
            <color indexed="81"/>
            <rFont val="Tahoma"/>
            <family val="2"/>
          </rPr>
          <t>maximum fraction of snowpack captured by measured density.</t>
        </r>
      </text>
    </comment>
    <comment ref="T26" authorId="2" shapeId="0" xr:uid="{D835C2D4-8B28-402A-AAC9-4406286A4CD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6" authorId="2" shapeId="0" xr:uid="{BAE4815F-E181-4CE4-83DC-570B2AF6E06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6" authorId="2" shapeId="0" xr:uid="{E61022D6-C330-4949-AC9A-41C466BC072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6" authorId="2" shapeId="0" xr:uid="{320F6D32-CACB-4590-AD2A-B9DEDC1B2841}">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6" authorId="2" shapeId="0" xr:uid="{B68DA45F-197B-464C-91FE-41C84C1292BD}">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29" authorId="3" shapeId="0" xr:uid="{296C4278-B6DC-47C9-8A78-359AFA67ECB4}">
      <text>
        <r>
          <rPr>
            <b/>
            <sz val="9"/>
            <color indexed="81"/>
            <rFont val="Tahoma"/>
            <family val="2"/>
          </rPr>
          <t>ehbaker:</t>
        </r>
        <r>
          <rPr>
            <sz val="9"/>
            <color indexed="81"/>
            <rFont val="Tahoma"/>
            <family val="2"/>
          </rPr>
          <t xml:space="preserve">
Agrees almost perfectly with probed value in spring, increasing confidence in winter ablation #s</t>
        </r>
      </text>
    </comment>
    <comment ref="M30" authorId="3" shapeId="0" xr:uid="{6841870A-3A06-4E14-8AEF-1D205A8212BC}">
      <text>
        <r>
          <rPr>
            <b/>
            <sz val="9"/>
            <color indexed="81"/>
            <rFont val="Tahoma"/>
            <family val="2"/>
          </rPr>
          <t>ehbaker:</t>
        </r>
        <r>
          <rPr>
            <sz val="9"/>
            <color indexed="81"/>
            <rFont val="Tahoma"/>
            <family val="2"/>
          </rPr>
          <t xml:space="preserve">
measured density of material in fall 2014
</t>
        </r>
      </text>
    </comment>
    <comment ref="I31" authorId="3" shapeId="0" xr:uid="{57797C2C-AF0A-45C9-8509-AD59D80E06EE}">
      <text>
        <r>
          <rPr>
            <b/>
            <sz val="9"/>
            <color indexed="81"/>
            <rFont val="Tahoma"/>
            <family val="2"/>
          </rPr>
          <t>ehbaker:</t>
        </r>
        <r>
          <rPr>
            <sz val="9"/>
            <color indexed="81"/>
            <rFont val="Tahoma"/>
            <family val="2"/>
          </rPr>
          <t xml:space="preserve">
only one probed depth taken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Author</author>
  </authors>
  <commentList>
    <comment ref="H1" authorId="0" shapeId="0" xr:uid="{BB32E5DA-D862-41A5-852F-B21D11C4405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I1" authorId="1" shapeId="0" xr:uid="{48EE778D-7C2A-4292-B8ED-0808AD0E76FF}">
      <text>
        <r>
          <rPr>
            <b/>
            <sz val="9"/>
            <color indexed="81"/>
            <rFont val="Tahoma"/>
            <family val="2"/>
          </rPr>
          <t>ehbaker:</t>
        </r>
        <r>
          <rPr>
            <sz val="9"/>
            <color indexed="81"/>
            <rFont val="Tahoma"/>
            <family val="2"/>
          </rPr>
          <t xml:space="preserve">
Depth of the new firn that was measured for density (excluding new snow)</t>
        </r>
      </text>
    </comment>
    <comment ref="H2" authorId="0" shapeId="0" xr:uid="{6330D785-22C9-4A12-BFB2-73044041C2F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CFA12D2-4D98-4DE5-9126-696C5F701FF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76783F3F-EB79-4AB9-A3FA-B8687DCAF4F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I4" authorId="1" shapeId="0" xr:uid="{F0C0676F-2E42-49DE-9B7A-982757A63E49}">
      <text>
        <r>
          <rPr>
            <b/>
            <sz val="9"/>
            <color indexed="81"/>
            <rFont val="Tahoma"/>
            <family val="2"/>
          </rPr>
          <t>ehbaker:</t>
        </r>
        <r>
          <rPr>
            <sz val="9"/>
            <color indexed="81"/>
            <rFont val="Tahoma"/>
            <family val="2"/>
          </rPr>
          <t xml:space="preserve">
Bulk density of the new firn measured (excluding new summer accumulation)</t>
        </r>
      </text>
    </comment>
    <comment ref="B5" authorId="2" shapeId="0" xr:uid="{7EAC8BF4-730E-49A6-AF3E-0C77B2A895BF}">
      <text>
        <r>
          <rPr>
            <sz val="8"/>
            <color indexed="81"/>
            <rFont val="Tahoma"/>
            <family val="2"/>
          </rPr>
          <t xml:space="preserve">Sipre coring auger=45.6cm2 
large tube 41.05 cm2       
small tube 25.6   cm2          
Snow Metrics 1000 cm^3
</t>
        </r>
      </text>
    </comment>
    <comment ref="T10" authorId="1" shapeId="0" xr:uid="{84DEB2EA-6610-45F5-BE15-CB78C138B057}">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E11" authorId="1" shapeId="0" xr:uid="{68C888ED-A748-4979-8C3D-C13CC334B5EA}">
      <text>
        <r>
          <rPr>
            <b/>
            <sz val="9"/>
            <color indexed="81"/>
            <rFont val="Tahoma"/>
            <family val="2"/>
          </rPr>
          <t>ehbaker:</t>
        </r>
        <r>
          <rPr>
            <sz val="9"/>
            <color indexed="81"/>
            <rFont val="Tahoma"/>
            <family val="2"/>
          </rPr>
          <t xml:space="preserve">
This is for the full layer whose density the sample is meant to REPRESENT!!</t>
        </r>
      </text>
    </comment>
    <comment ref="A12" authorId="0" shapeId="0" xr:uid="{F569D2A4-1447-48E4-B231-462CD225B8A9}">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2" authorId="0" shapeId="0" xr:uid="{C6142485-C4F5-4F8A-926F-C1C08B563EE1}">
      <text>
        <r>
          <rPr>
            <b/>
            <sz val="9"/>
            <color indexed="81"/>
            <rFont val="Tahoma"/>
            <family val="2"/>
          </rPr>
          <t>cmcneil:</t>
        </r>
        <r>
          <rPr>
            <sz val="9"/>
            <color indexed="81"/>
            <rFont val="Tahoma"/>
            <family val="2"/>
          </rPr>
          <t xml:space="preserve">
Weight of sample container if scale was not tared. If scale was tared enter zero</t>
        </r>
      </text>
    </comment>
    <comment ref="C12" authorId="0" shapeId="0" xr:uid="{575224A6-3818-49F1-A98E-F7AE9FE72D0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2" authorId="0" shapeId="0" xr:uid="{EA5BD150-E5B8-4099-976E-E2E7383ED61D}">
      <text>
        <r>
          <rPr>
            <b/>
            <sz val="9"/>
            <color indexed="81"/>
            <rFont val="Tahoma"/>
            <family val="2"/>
          </rPr>
          <t>cmcneil:</t>
        </r>
        <r>
          <rPr>
            <sz val="9"/>
            <color indexed="81"/>
            <rFont val="Tahoma"/>
            <family val="2"/>
          </rPr>
          <t xml:space="preserve">
Volume of sample taken</t>
        </r>
      </text>
    </comment>
    <comment ref="E12" authorId="0" shapeId="0" xr:uid="{4255E027-AB3A-41B9-A50F-708D71535D4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2" authorId="0" shapeId="0" xr:uid="{98A072AE-88BE-4255-AD83-37511121EAF1}">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2" authorId="0" shapeId="0" xr:uid="{1DB1E648-D817-402F-ADB6-9BFA3C9397C1}">
      <text>
        <r>
          <rPr>
            <b/>
            <sz val="9"/>
            <color indexed="81"/>
            <rFont val="Tahoma"/>
            <family val="2"/>
          </rPr>
          <t>cmcneil:</t>
        </r>
        <r>
          <rPr>
            <sz val="9"/>
            <color indexed="81"/>
            <rFont val="Tahoma"/>
            <family val="2"/>
          </rPr>
          <t xml:space="preserve">
Density of sample. Calculated from the mass/volume</t>
        </r>
      </text>
    </comment>
    <comment ref="H12" authorId="0" shapeId="0" xr:uid="{495AF6A3-7E34-4D9C-B58C-312D189F254D}">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2" authorId="0" shapeId="0" xr:uid="{C3C88AC4-8E4D-4C85-B0F9-AC4D5AD6C42F}">
      <text>
        <r>
          <rPr>
            <b/>
            <sz val="9"/>
            <color indexed="81"/>
            <rFont val="Tahoma"/>
            <family val="2"/>
          </rPr>
          <t>cmcneil:</t>
        </r>
        <r>
          <rPr>
            <sz val="9"/>
            <color indexed="81"/>
            <rFont val="Tahoma"/>
            <family val="2"/>
          </rPr>
          <t xml:space="preserve">
Cummulative s.w.e. of from surface to the depth of each sample</t>
        </r>
      </text>
    </comment>
    <comment ref="J12" authorId="0" shapeId="0" xr:uid="{24594556-E315-4DDB-B9EA-E717AD0F85F1}">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2" authorId="0" shapeId="0" xr:uid="{E4D2C2CC-82AE-4457-8D45-41D4F5B2590A}">
      <text>
        <r>
          <rPr>
            <b/>
            <sz val="9"/>
            <color indexed="81"/>
            <rFont val="Tahoma"/>
            <family val="2"/>
          </rPr>
          <t>cmcneil:</t>
        </r>
        <r>
          <rPr>
            <sz val="9"/>
            <color indexed="81"/>
            <rFont val="Tahoma"/>
            <family val="2"/>
          </rPr>
          <t xml:space="preserve">
Any observation about a given sample. Cutting dog bites, dirty layers, ice lenses, etc...</t>
        </r>
      </text>
    </comment>
    <comment ref="L12" authorId="0" shapeId="0" xr:uid="{F187E328-4C1B-44E0-A36A-C37353C6BF2B}">
      <text>
        <r>
          <rPr>
            <b/>
            <sz val="9"/>
            <color indexed="81"/>
            <rFont val="Tahoma"/>
            <family val="2"/>
          </rPr>
          <t>cmcneil:</t>
        </r>
        <r>
          <rPr>
            <sz val="9"/>
            <color indexed="81"/>
            <rFont val="Tahoma"/>
            <family val="2"/>
          </rPr>
          <t xml:space="preserve">
What was used to measure snow depth</t>
        </r>
      </text>
    </comment>
    <comment ref="M12" authorId="0" shapeId="0" xr:uid="{EE704309-D15F-4C55-91F1-267508DDFC7C}">
      <text>
        <r>
          <rPr>
            <b/>
            <sz val="9"/>
            <color indexed="81"/>
            <rFont val="Tahoma"/>
            <family val="2"/>
          </rPr>
          <t>cmcneil:</t>
        </r>
        <r>
          <rPr>
            <sz val="9"/>
            <color indexed="81"/>
            <rFont val="Tahoma"/>
            <family val="2"/>
          </rPr>
          <t xml:space="preserve">
snow depth observed</t>
        </r>
      </text>
    </comment>
    <comment ref="F18" authorId="1" shapeId="0" xr:uid="{22C7428A-3CAD-417B-B323-C10314D954D9}">
      <text>
        <r>
          <rPr>
            <b/>
            <sz val="9"/>
            <color indexed="81"/>
            <rFont val="Tahoma"/>
            <family val="2"/>
          </rPr>
          <t>ehbaker:</t>
        </r>
        <r>
          <rPr>
            <sz val="9"/>
            <color indexed="81"/>
            <rFont val="Tahoma"/>
            <family val="2"/>
          </rPr>
          <t xml:space="preserve">
Probed depth of full snowpack depth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CF48DA34-C32D-48BA-8007-B689B1224DC5}">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D8BE2DBE-B84A-4501-A249-37C365AFC743}">
      <text>
        <r>
          <rPr>
            <sz val="8"/>
            <color indexed="81"/>
            <rFont val="Tahoma"/>
            <family val="2"/>
          </rPr>
          <t>This is the amount of snow that is above the summer surface.  The value should always be positive or zero.</t>
        </r>
      </text>
    </comment>
    <comment ref="A3" authorId="0" shapeId="0" xr:uid="{1C4E8559-EDEB-496A-9393-93AB86154E54}">
      <text>
        <r>
          <rPr>
            <b/>
            <sz val="8"/>
            <color indexed="81"/>
            <rFont val="Tahoma"/>
            <family val="2"/>
          </rPr>
          <t>GAAdmin:</t>
        </r>
        <r>
          <rPr>
            <sz val="8"/>
            <color indexed="81"/>
            <rFont val="Tahoma"/>
            <family val="2"/>
          </rPr>
          <t xml:space="preserve">
The stake with which the observations were made.</t>
        </r>
      </text>
    </comment>
    <comment ref="B3" authorId="0" shapeId="0" xr:uid="{877D34A4-DB74-4542-B023-7A1E2157B040}">
      <text>
        <r>
          <rPr>
            <b/>
            <sz val="8"/>
            <color indexed="81"/>
            <rFont val="Tahoma"/>
            <family val="2"/>
          </rPr>
          <t>GAAdmin:</t>
        </r>
        <r>
          <rPr>
            <sz val="8"/>
            <color indexed="81"/>
            <rFont val="Tahoma"/>
            <family val="2"/>
          </rPr>
          <t xml:space="preserve">
Date of observations</t>
        </r>
      </text>
    </comment>
    <comment ref="C3" authorId="0" shapeId="0" xr:uid="{5ADCE6CA-7C42-435D-8F95-CBE9FA466E50}">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47976DD0-D366-4FD4-B9E4-1939F56A4660}">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FB570FCB-EBDD-416B-BAAB-3ECE60A40024}">
      <text>
        <r>
          <rPr>
            <sz val="8"/>
            <color indexed="81"/>
            <rFont val="Tahoma"/>
            <family val="2"/>
          </rPr>
          <t>Type of surface strata:
Glacier Ice, Snow, Superimposed Ice, Old Firn or New Firn.  For the Fall surveys this should be the surface strata beneath any fresh snow.</t>
        </r>
      </text>
    </comment>
    <comment ref="G3" authorId="0" shapeId="0" xr:uid="{C0526DC2-6A67-4991-806B-B0EBB8B8CAED}">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54396620-5166-46F3-AB39-7A40B8DCE94F}">
      <text>
        <r>
          <rPr>
            <b/>
            <sz val="8"/>
            <color indexed="81"/>
            <rFont val="Tahoma"/>
            <family val="2"/>
          </rPr>
          <t>GAAdmin:</t>
        </r>
        <r>
          <rPr>
            <sz val="8"/>
            <color indexed="81"/>
            <rFont val="Tahoma"/>
            <family val="2"/>
          </rPr>
          <t xml:space="preserve">
Average depth of snow from probing
</t>
        </r>
      </text>
    </comment>
    <comment ref="I3" authorId="0" shapeId="0" xr:uid="{A91C4814-FE74-47D3-8CD1-B6B0F2BD18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52ADD163-37C9-4ECD-8DB1-9D9D26174661}">
      <text>
        <r>
          <rPr>
            <b/>
            <sz val="8"/>
            <color indexed="81"/>
            <rFont val="Tahoma"/>
            <family val="2"/>
          </rPr>
          <t>GAAdmin:</t>
        </r>
        <r>
          <rPr>
            <sz val="8"/>
            <color indexed="81"/>
            <rFont val="Tahoma"/>
            <family val="2"/>
          </rPr>
          <t xml:space="preserve">
number of observations of snow depth</t>
        </r>
      </text>
    </comment>
    <comment ref="L3" authorId="0" shapeId="0" xr:uid="{CE8E3493-B85D-41F0-AAD0-E818B5569E9C}">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9247768D-AA8A-46B5-8D5C-814556D8B438}">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90AABC7E-C653-421D-AD12-ADA60FB567DA}">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F7297D2-D864-460F-9C73-23E07EC8DAD1}">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9E0C97AA-8E38-4F74-A09F-BE0FDF6B5CA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D7EE6F3E-7BB4-430F-ABB6-0AA0E965C5DB}">
      <text>
        <r>
          <rPr>
            <sz val="8"/>
            <color indexed="81"/>
            <rFont val="Tahoma"/>
            <family val="2"/>
          </rPr>
          <t>Average density of the material above ss.</t>
        </r>
      </text>
    </comment>
    <comment ref="R3" authorId="0" shapeId="0" xr:uid="{0226FBAF-C8A3-4BE5-AF7D-F578773204ED}">
      <text>
        <r>
          <rPr>
            <b/>
            <sz val="8"/>
            <color indexed="81"/>
            <rFont val="Tahoma"/>
            <family val="2"/>
          </rPr>
          <t>GAAdmin:</t>
        </r>
        <r>
          <rPr>
            <sz val="8"/>
            <color indexed="81"/>
            <rFont val="Tahoma"/>
            <family val="2"/>
          </rPr>
          <t xml:space="preserve">
Is the Density Estimated (E) or is it Measured (M) ?</t>
        </r>
      </text>
    </comment>
    <comment ref="S3" authorId="0" shapeId="0" xr:uid="{4D82EE63-06B2-4E5E-86FA-F6ADE76476A5}">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5B5C8E05-AFA3-41A1-9BFD-D8F9160A3F03}">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A668A595-7F2E-4BBD-B7CA-77349B9465EF}">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3DA55298-97EC-42DB-B7D4-76821DD3E07D}">
      <text/>
    </comment>
    <comment ref="J5" authorId="1" shapeId="0" xr:uid="{B7D87C42-AF5A-4B6D-90CD-0F0B7C32182C}">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J6" authorId="1" shapeId="0" xr:uid="{E966670E-4829-4D20-9A85-4DED90784DBB}">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J14" authorId="1" shapeId="0" xr:uid="{E0D01A0D-9A85-4D5A-AA25-6087B62B1F56}">
      <text>
        <r>
          <rPr>
            <b/>
            <sz val="9"/>
            <color indexed="81"/>
            <rFont val="Tahoma"/>
            <family val="2"/>
          </rPr>
          <t>Rob Burrows:</t>
        </r>
        <r>
          <rPr>
            <sz val="9"/>
            <color indexed="81"/>
            <rFont val="Tahoma"/>
            <family val="2"/>
          </rPr>
          <t xml:space="preserve">
These values show that snow probing penetrated into the new firn by up to 1.12 m.  Will use the previous fall's b'ss instead for any calcs.</t>
        </r>
      </text>
    </comment>
    <comment ref="Q14" authorId="1" shapeId="0" xr:uid="{AF4CE6B6-6484-4AB6-BEF6-C8CDDB50F67F}">
      <text>
        <r>
          <rPr>
            <b/>
            <sz val="9"/>
            <color indexed="81"/>
            <rFont val="Tahoma"/>
            <family val="2"/>
          </rPr>
          <t>Rob Burrows:</t>
        </r>
        <r>
          <rPr>
            <sz val="9"/>
            <color indexed="81"/>
            <rFont val="Tahoma"/>
            <family val="2"/>
          </rPr>
          <t xml:space="preserve">
Iso thermal and "wet" snow.</t>
        </r>
      </text>
    </comment>
    <comment ref="Q15" authorId="1" shapeId="0" xr:uid="{078F1945-ADD6-4C24-961D-A7BDB12C4F54}">
      <text>
        <r>
          <rPr>
            <b/>
            <sz val="9"/>
            <color indexed="81"/>
            <rFont val="Tahoma"/>
            <family val="2"/>
          </rPr>
          <t>Rob Burrows:</t>
        </r>
        <r>
          <rPr>
            <sz val="9"/>
            <color indexed="81"/>
            <rFont val="Tahoma"/>
            <family val="2"/>
          </rPr>
          <t xml:space="preserve">
Iso thermal and "wet" snow.</t>
        </r>
      </text>
    </comment>
    <comment ref="J16" authorId="1" shapeId="0" xr:uid="{8D639275-0A78-41FA-A290-43824D9D6F9C}">
      <text>
        <r>
          <rPr>
            <b/>
            <sz val="9"/>
            <color indexed="81"/>
            <rFont val="Tahoma"/>
            <family val="2"/>
          </rPr>
          <t>Rob Burrows:</t>
        </r>
        <r>
          <rPr>
            <sz val="9"/>
            <color indexed="81"/>
            <rFont val="Tahoma"/>
            <family val="2"/>
          </rPr>
          <t xml:space="preserve">
This is likely ice loss that occurred after the fall 2014 visit.</t>
        </r>
      </text>
    </comment>
    <comment ref="Q16" authorId="1" shapeId="0" xr:uid="{9A778307-0AC8-4224-BF17-F130E707B33D}">
      <text>
        <r>
          <rPr>
            <b/>
            <sz val="9"/>
            <color indexed="81"/>
            <rFont val="Tahoma"/>
            <family val="2"/>
          </rPr>
          <t>Rob Burrows:</t>
        </r>
        <r>
          <rPr>
            <sz val="9"/>
            <color indexed="81"/>
            <rFont val="Tahoma"/>
            <family val="2"/>
          </rPr>
          <t xml:space="preserve">
Highly water saturated snow, particularly at the base of the snowpack.</t>
        </r>
      </text>
    </comment>
    <comment ref="J17" authorId="1" shapeId="0" xr:uid="{2FB82135-BA45-4D75-960C-B102C8841758}">
      <text>
        <r>
          <rPr>
            <b/>
            <sz val="9"/>
            <color indexed="81"/>
            <rFont val="Tahoma"/>
            <family val="2"/>
          </rPr>
          <t>Rob Burrows:</t>
        </r>
        <r>
          <rPr>
            <sz val="9"/>
            <color indexed="81"/>
            <rFont val="Tahoma"/>
            <family val="2"/>
          </rPr>
          <t xml:space="preserve">
This is likely ice loss that occurred after the fall 2014 visit.</t>
        </r>
      </text>
    </comment>
    <comment ref="Q17" authorId="1" shapeId="0" xr:uid="{1E92AF4F-B6DE-40FC-9F9A-1A6A554B24B2}">
      <text>
        <r>
          <rPr>
            <b/>
            <sz val="9"/>
            <color indexed="81"/>
            <rFont val="Tahoma"/>
            <family val="2"/>
          </rPr>
          <t>Rob Burrows:</t>
        </r>
        <r>
          <rPr>
            <sz val="9"/>
            <color indexed="81"/>
            <rFont val="Tahoma"/>
            <family val="2"/>
          </rPr>
          <t xml:space="preserve">
Highly water saturated snow, particularly at the base of the snowpack.</t>
        </r>
      </text>
    </comment>
    <comment ref="M18" authorId="1" shapeId="0" xr:uid="{5E723431-1AD7-4F06-82AA-090B6A26BE19}">
      <text>
        <r>
          <rPr>
            <b/>
            <sz val="9"/>
            <color indexed="81"/>
            <rFont val="Tahoma"/>
            <family val="2"/>
          </rPr>
          <t>Rob Burrows:</t>
        </r>
        <r>
          <rPr>
            <sz val="9"/>
            <color indexed="81"/>
            <rFont val="Tahoma"/>
            <family val="2"/>
          </rPr>
          <t xml:space="preserve">
estimated based on measurements at stake 17-B</t>
        </r>
      </text>
    </comment>
    <comment ref="M19" authorId="1" shapeId="0" xr:uid="{4D2C877B-12B2-42B5-A12F-4540FF49EBB9}">
      <text>
        <r>
          <rPr>
            <b/>
            <sz val="9"/>
            <color indexed="81"/>
            <rFont val="Tahoma"/>
            <family val="2"/>
          </rPr>
          <t>Rob Burrows:</t>
        </r>
        <r>
          <rPr>
            <sz val="9"/>
            <color indexed="81"/>
            <rFont val="Tahoma"/>
            <family val="2"/>
          </rPr>
          <t xml:space="preserve">
Measured density of 1.2 m of remaining firn
</t>
        </r>
      </text>
    </comment>
    <comment ref="A26" authorId="0" shapeId="0" xr:uid="{BE200334-5875-4B1D-B7AE-39C03B734A28}">
      <text>
        <r>
          <rPr>
            <b/>
            <sz val="8"/>
            <color indexed="81"/>
            <rFont val="Tahoma"/>
            <family val="2"/>
          </rPr>
          <t>GAAdmin:</t>
        </r>
        <r>
          <rPr>
            <sz val="8"/>
            <color indexed="81"/>
            <rFont val="Tahoma"/>
            <family val="2"/>
          </rPr>
          <t xml:space="preserve">
The stake with which the observations were made.</t>
        </r>
      </text>
    </comment>
    <comment ref="B26" authorId="0" shapeId="0" xr:uid="{C67D073D-F293-4B34-A450-E14453CE53AE}">
      <text>
        <r>
          <rPr>
            <b/>
            <sz val="8"/>
            <color indexed="81"/>
            <rFont val="Tahoma"/>
            <family val="2"/>
          </rPr>
          <t>GAAdmin:</t>
        </r>
        <r>
          <rPr>
            <sz val="8"/>
            <color indexed="81"/>
            <rFont val="Tahoma"/>
            <family val="2"/>
          </rPr>
          <t xml:space="preserve">
Date of observations</t>
        </r>
      </text>
    </comment>
    <comment ref="C26" authorId="2" shapeId="0" xr:uid="{88CE5BF2-5105-4AC1-822C-D481DC9B623E}">
      <text>
        <r>
          <rPr>
            <b/>
            <sz val="9"/>
            <color indexed="81"/>
            <rFont val="Tahoma"/>
            <family val="2"/>
          </rPr>
          <t>cmcneil:</t>
        </r>
        <r>
          <rPr>
            <sz val="9"/>
            <color indexed="81"/>
            <rFont val="Tahoma"/>
            <family val="2"/>
          </rPr>
          <t xml:space="preserve">
Total length of stake</t>
        </r>
      </text>
    </comment>
    <comment ref="D26" authorId="2" shapeId="0" xr:uid="{C57D8741-B843-4E71-8347-6163E4B20856}">
      <text>
        <r>
          <rPr>
            <b/>
            <sz val="9"/>
            <color indexed="81"/>
            <rFont val="Tahoma"/>
            <family val="2"/>
          </rPr>
          <t>cmcneil:</t>
        </r>
        <r>
          <rPr>
            <sz val="9"/>
            <color indexed="81"/>
            <rFont val="Tahoma"/>
            <family val="2"/>
          </rPr>
          <t xml:space="preserve">
Length of stake above the surface noted in column D</t>
        </r>
      </text>
    </comment>
    <comment ref="E26" authorId="2" shapeId="0" xr:uid="{F6FBAF7E-4419-4B3F-BC22-D0C8E23E1F7F}">
      <text>
        <r>
          <rPr>
            <b/>
            <sz val="9"/>
            <color indexed="81"/>
            <rFont val="Tahoma"/>
            <family val="2"/>
          </rPr>
          <t>cmcneil:</t>
        </r>
        <r>
          <rPr>
            <sz val="9"/>
            <color indexed="81"/>
            <rFont val="Tahoma"/>
            <family val="2"/>
          </rPr>
          <t xml:space="preserve">
Length of stake still below the surface noted in column D</t>
        </r>
      </text>
    </comment>
    <comment ref="F26" authorId="0" shapeId="0" xr:uid="{F810ADC4-60F4-442F-A5F6-8FC707615010}">
      <text>
        <r>
          <rPr>
            <sz val="8"/>
            <color indexed="81"/>
            <rFont val="Tahoma"/>
            <family val="2"/>
          </rPr>
          <t>Type of surface strata:
Glacier Ice, Snow, Superimposed Ice, Old Firn or New Firn.  For the Fall surveys this should be the surface strata beneath any fresh snow.</t>
        </r>
      </text>
    </comment>
    <comment ref="G26" authorId="0" shapeId="0" xr:uid="{913ADEAD-B4F2-4DBA-882D-0CB86DE33BE5}">
      <text>
        <r>
          <rPr>
            <b/>
            <sz val="8"/>
            <color indexed="81"/>
            <rFont val="Tahoma"/>
            <family val="2"/>
          </rPr>
          <t>GAAdmin:</t>
        </r>
        <r>
          <rPr>
            <sz val="8"/>
            <color indexed="81"/>
            <rFont val="Tahoma"/>
            <family val="2"/>
          </rPr>
          <t xml:space="preserve">
Average depth of snow as determined in snow pit.</t>
        </r>
      </text>
    </comment>
    <comment ref="H26" authorId="0" shapeId="0" xr:uid="{4CD5C3DA-EA94-4592-904D-77D73BC5EFE5}">
      <text>
        <r>
          <rPr>
            <b/>
            <sz val="8"/>
            <color indexed="81"/>
            <rFont val="Tahoma"/>
            <family val="2"/>
          </rPr>
          <t>GAAdmin:</t>
        </r>
        <r>
          <rPr>
            <sz val="8"/>
            <color indexed="81"/>
            <rFont val="Tahoma"/>
            <family val="2"/>
          </rPr>
          <t xml:space="preserve">
Average depth of snow from probing
</t>
        </r>
      </text>
    </comment>
    <comment ref="I26" authorId="0" shapeId="0" xr:uid="{39BE0800-0B42-4BBB-A0AF-3FAF805245E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6" authorId="0" shapeId="0" xr:uid="{2D7CFFAB-7765-4484-9AC1-73381A1DB5C6}">
      <text>
        <r>
          <rPr>
            <b/>
            <sz val="8"/>
            <color indexed="81"/>
            <rFont val="Tahoma"/>
            <family val="2"/>
          </rPr>
          <t>GAAdmin:</t>
        </r>
        <r>
          <rPr>
            <sz val="8"/>
            <color indexed="81"/>
            <rFont val="Tahoma"/>
            <family val="2"/>
          </rPr>
          <t xml:space="preserve">
Standard Error</t>
        </r>
      </text>
    </comment>
    <comment ref="K26" authorId="0" shapeId="0" xr:uid="{873A21A7-3B6E-4CBC-8404-1AE48C4F4D1A}">
      <text>
        <r>
          <rPr>
            <b/>
            <sz val="8"/>
            <color indexed="81"/>
            <rFont val="Tahoma"/>
            <family val="2"/>
          </rPr>
          <t>GAAdmin:</t>
        </r>
        <r>
          <rPr>
            <sz val="8"/>
            <color indexed="81"/>
            <rFont val="Tahoma"/>
            <family val="2"/>
          </rPr>
          <t xml:space="preserve">
number of observations of snow depth</t>
        </r>
      </text>
    </comment>
    <comment ref="M26" authorId="0" shapeId="0" xr:uid="{87641213-644B-48D9-BD59-C97E167C0223}">
      <text>
        <r>
          <rPr>
            <b/>
            <sz val="8"/>
            <color indexed="81"/>
            <rFont val="Tahoma"/>
            <family val="2"/>
          </rPr>
          <t>GAAdmin:</t>
        </r>
        <r>
          <rPr>
            <sz val="8"/>
            <color indexed="81"/>
            <rFont val="Tahoma"/>
            <family val="2"/>
          </rPr>
          <t xml:space="preserve">
This density is estimated and is based on the surface strata of the previous survey.</t>
        </r>
      </text>
    </comment>
    <comment ref="O26" authorId="0" shapeId="0" xr:uid="{43613154-40A9-4AA3-8702-8AC62DC80E7B}">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6" authorId="0" shapeId="0" xr:uid="{E9F1511E-E9E6-46AC-A0B3-A2B5FD98F1D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6" authorId="0" shapeId="0" xr:uid="{546A5832-9DAC-47A8-9121-E967E6363A10}">
      <text>
        <r>
          <rPr>
            <sz val="8"/>
            <color indexed="81"/>
            <rFont val="Tahoma"/>
            <family val="2"/>
          </rPr>
          <t>Average density of the material above ss.</t>
        </r>
      </text>
    </comment>
    <comment ref="S26" authorId="3" shapeId="0" xr:uid="{7CBBE17D-48F5-43F0-90C0-8BFE570F9ECD}">
      <text>
        <r>
          <rPr>
            <b/>
            <sz val="9"/>
            <color indexed="81"/>
            <rFont val="Tahoma"/>
            <family val="2"/>
          </rPr>
          <t xml:space="preserve">ehbaker:
</t>
        </r>
        <r>
          <rPr>
            <sz val="9"/>
            <color indexed="81"/>
            <rFont val="Tahoma"/>
            <family val="2"/>
          </rPr>
          <t>maximum fraction of snowpack captured by measured density.</t>
        </r>
      </text>
    </comment>
    <comment ref="T26" authorId="2" shapeId="0" xr:uid="{34D6C426-A21E-4DA0-A9FD-AC322DA8BA2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6" authorId="2" shapeId="0" xr:uid="{44F52CDE-BB40-4FBB-BF22-3E0877A26BB7}">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6" authorId="2" shapeId="0" xr:uid="{CFAB4AC0-4622-4911-863D-C7DCE354F61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6" authorId="2" shapeId="0" xr:uid="{F4BE4BDB-3695-4A41-B0BF-F3AA2273274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6" authorId="2" shapeId="0" xr:uid="{821B6861-C8DE-4EEC-81DE-E58BC04125D3}">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F29" authorId="3" shapeId="0" xr:uid="{A2819691-985A-4B13-AF84-500576CD00A3}">
      <text>
        <r>
          <rPr>
            <b/>
            <sz val="9"/>
            <color indexed="81"/>
            <rFont val="Tahoma"/>
            <family val="2"/>
          </rPr>
          <t>ehbaker:</t>
        </r>
        <r>
          <rPr>
            <sz val="9"/>
            <color indexed="81"/>
            <rFont val="Tahoma"/>
            <family val="2"/>
          </rPr>
          <t xml:space="preserve">
excel data entry sheet says snow; database says new firn. No field notes..</t>
        </r>
      </text>
    </comment>
    <comment ref="Q29" authorId="3" shapeId="0" xr:uid="{4684A065-E101-410C-95D9-B6A531FBDF90}">
      <text>
        <r>
          <rPr>
            <b/>
            <sz val="9"/>
            <color indexed="81"/>
            <rFont val="Tahoma"/>
            <family val="2"/>
          </rPr>
          <t>ehbaker:</t>
        </r>
        <r>
          <rPr>
            <sz val="9"/>
            <color indexed="81"/>
            <rFont val="Tahoma"/>
            <family val="2"/>
          </rPr>
          <t xml:space="preserve">
assumed density of new firn; density of fall 2014 firn</t>
        </r>
      </text>
    </comment>
    <comment ref="P31" authorId="3" shapeId="0" xr:uid="{A5B0B4C0-995E-408D-89DE-F0EE5F507BAF}">
      <text>
        <r>
          <rPr>
            <b/>
            <sz val="9"/>
            <color indexed="81"/>
            <rFont val="Tahoma"/>
            <family val="2"/>
          </rPr>
          <t>ehbaker:</t>
        </r>
        <r>
          <rPr>
            <sz val="9"/>
            <color indexed="81"/>
            <rFont val="Tahoma"/>
            <family val="2"/>
          </rPr>
          <t xml:space="preserve">
depth of new firn as determined from stake measurements (not probed, nor was pit dug)</t>
        </r>
      </text>
    </comment>
    <comment ref="Q31" authorId="3" shapeId="0" xr:uid="{83D3C61F-D559-4774-A8B2-63170EF12274}">
      <text>
        <r>
          <rPr>
            <b/>
            <sz val="9"/>
            <color indexed="81"/>
            <rFont val="Tahoma"/>
            <family val="2"/>
          </rPr>
          <t>ehbaker:</t>
        </r>
        <r>
          <rPr>
            <sz val="9"/>
            <color indexed="81"/>
            <rFont val="Tahoma"/>
            <family val="2"/>
          </rPr>
          <t xml:space="preserve">
assumed density of new firn; density of fall 2014 firn</t>
        </r>
      </text>
    </comment>
    <comment ref="P32" authorId="3" shapeId="0" xr:uid="{E85BBE22-ED71-478A-97B5-602684CC8F0B}">
      <text>
        <r>
          <rPr>
            <b/>
            <sz val="9"/>
            <color indexed="81"/>
            <rFont val="Tahoma"/>
            <family val="2"/>
          </rPr>
          <t>ehbaker:</t>
        </r>
        <r>
          <rPr>
            <sz val="9"/>
            <color indexed="81"/>
            <rFont val="Tahoma"/>
            <family val="2"/>
          </rPr>
          <t xml:space="preserve">
This is probed depth of new fresh snow (not new firn)</t>
        </r>
      </text>
    </comment>
    <comment ref="Q32" authorId="3" shapeId="0" xr:uid="{CADD04E2-B3C9-454C-9DE3-EF468776E1C6}">
      <text>
        <r>
          <rPr>
            <b/>
            <sz val="9"/>
            <color indexed="81"/>
            <rFont val="Tahoma"/>
            <family val="2"/>
          </rPr>
          <t>ehbaker:</t>
        </r>
        <r>
          <rPr>
            <sz val="9"/>
            <color indexed="81"/>
            <rFont val="Tahoma"/>
            <family val="2"/>
          </rPr>
          <t xml:space="preserve">
assumed density of new snow in fall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C81C57AF-B42F-4AB1-8116-44B260256317}">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C14DEDB1-8C33-4773-B825-FFEF127B98FA}">
      <text>
        <r>
          <rPr>
            <sz val="8"/>
            <color indexed="81"/>
            <rFont val="Tahoma"/>
            <family val="2"/>
          </rPr>
          <t>This is the amount of snow that is above the summer surface.  The value should always be positive or zero.</t>
        </r>
      </text>
    </comment>
    <comment ref="A3" authorId="0" shapeId="0" xr:uid="{CE73E0AE-58D1-4C85-B6CF-A32414EE6C36}">
      <text>
        <r>
          <rPr>
            <b/>
            <sz val="8"/>
            <color indexed="81"/>
            <rFont val="Tahoma"/>
            <family val="2"/>
          </rPr>
          <t>GAAdmin:</t>
        </r>
        <r>
          <rPr>
            <sz val="8"/>
            <color indexed="81"/>
            <rFont val="Tahoma"/>
            <family val="2"/>
          </rPr>
          <t xml:space="preserve">
The stake with which the observations were made.</t>
        </r>
      </text>
    </comment>
    <comment ref="B3" authorId="0" shapeId="0" xr:uid="{3B336206-EC60-4E78-A964-62324F5CB031}">
      <text>
        <r>
          <rPr>
            <b/>
            <sz val="8"/>
            <color indexed="81"/>
            <rFont val="Tahoma"/>
            <family val="2"/>
          </rPr>
          <t>GAAdmin:</t>
        </r>
        <r>
          <rPr>
            <sz val="8"/>
            <color indexed="81"/>
            <rFont val="Tahoma"/>
            <family val="2"/>
          </rPr>
          <t xml:space="preserve">
Date of observations</t>
        </r>
      </text>
    </comment>
    <comment ref="C3" authorId="0" shapeId="0" xr:uid="{5C736D17-B53B-4A68-A21E-AAEA1C6A14B8}">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6B9E19B8-A18D-45A8-9AB6-B7003956D5DB}">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4B8B4E5E-56AC-47FB-A67F-375E89B5976A}">
      <text>
        <r>
          <rPr>
            <sz val="8"/>
            <color indexed="81"/>
            <rFont val="Tahoma"/>
            <family val="2"/>
          </rPr>
          <t>Type of surface strata:
Glacier Ice, Snow, Superimposed Ice, Old Firn or New Firn.  For the Fall surveys this should be the surface strata beneath any fresh snow.</t>
        </r>
      </text>
    </comment>
    <comment ref="G3" authorId="0" shapeId="0" xr:uid="{B0CB02F2-576B-46C3-A1EF-9ADBA05784BC}">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72E93448-10A1-405B-94E9-5943406B1145}">
      <text>
        <r>
          <rPr>
            <b/>
            <sz val="8"/>
            <color indexed="81"/>
            <rFont val="Tahoma"/>
            <family val="2"/>
          </rPr>
          <t>GAAdmin:</t>
        </r>
        <r>
          <rPr>
            <sz val="8"/>
            <color indexed="81"/>
            <rFont val="Tahoma"/>
            <family val="2"/>
          </rPr>
          <t xml:space="preserve">
Average depth of snow from probing
</t>
        </r>
      </text>
    </comment>
    <comment ref="I3" authorId="0" shapeId="0" xr:uid="{5A77A101-3D0B-4411-95BB-C0C9BEFD037F}">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6304B0FD-81C8-4619-9A69-8D29E37A1CCA}">
      <text>
        <r>
          <rPr>
            <b/>
            <sz val="8"/>
            <color indexed="81"/>
            <rFont val="Tahoma"/>
            <family val="2"/>
          </rPr>
          <t>GAAdmin:</t>
        </r>
        <r>
          <rPr>
            <sz val="8"/>
            <color indexed="81"/>
            <rFont val="Tahoma"/>
            <family val="2"/>
          </rPr>
          <t xml:space="preserve">
number of observations of snow depth</t>
        </r>
      </text>
    </comment>
    <comment ref="L3" authorId="0" shapeId="0" xr:uid="{3E353D32-36A9-4E7E-9787-9167C976D0FF}">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379CA3E4-AD5A-483A-BFE2-0C74465FE07C}">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AE0E0688-BA83-44C4-94B7-6B73BCBF9851}">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A6F7F47F-F831-40F6-B14C-63CDCEA87D70}">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C3970830-380B-4547-817E-D2C094E47046}">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B19D4E51-1C2A-4635-938C-88E00CC3129D}">
      <text>
        <r>
          <rPr>
            <sz val="8"/>
            <color indexed="81"/>
            <rFont val="Tahoma"/>
            <family val="2"/>
          </rPr>
          <t>Average density of the material above ss.</t>
        </r>
      </text>
    </comment>
    <comment ref="R3" authorId="0" shapeId="0" xr:uid="{324BE730-D7F2-43D0-A495-E68521C2B7C7}">
      <text>
        <r>
          <rPr>
            <b/>
            <sz val="8"/>
            <color indexed="81"/>
            <rFont val="Tahoma"/>
            <family val="2"/>
          </rPr>
          <t>GAAdmin:</t>
        </r>
        <r>
          <rPr>
            <sz val="8"/>
            <color indexed="81"/>
            <rFont val="Tahoma"/>
            <family val="2"/>
          </rPr>
          <t xml:space="preserve">
Is the Density Estimated (E) or is it Measured (M) ?</t>
        </r>
      </text>
    </comment>
    <comment ref="S3" authorId="0" shapeId="0" xr:uid="{8B8F5D76-DB3C-4053-89A2-709784F59D2E}">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53DCCD0-E806-4962-BAC2-ADA983551317}">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890EE26F-688B-4ACD-9A83-079D53B0B7FB}">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5BF07E19-E7DF-46B4-9765-5CC63BEB78D3}">
      <text/>
    </comment>
    <comment ref="J5" authorId="1" shapeId="0" xr:uid="{9D97DE75-E2EE-4404-A5F9-0A0EC74A3630}">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J6" authorId="1" shapeId="0" xr:uid="{A098D0E4-0A22-4418-915F-53DA7673C2F2}">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J14" authorId="1" shapeId="0" xr:uid="{8BE3FEB6-4E76-42BE-97E5-83A3FEE8DEE2}">
      <text>
        <r>
          <rPr>
            <b/>
            <sz val="9"/>
            <color indexed="81"/>
            <rFont val="Tahoma"/>
            <family val="2"/>
          </rPr>
          <t>Rob Burrows:</t>
        </r>
        <r>
          <rPr>
            <sz val="9"/>
            <color indexed="81"/>
            <rFont val="Tahoma"/>
            <family val="2"/>
          </rPr>
          <t xml:space="preserve">
These values show that snow probing penetrated into the new firn by up to 1.12 m.  Will use the previous fall's b'ss instead for any calcs.</t>
        </r>
      </text>
    </comment>
    <comment ref="Q14" authorId="1" shapeId="0" xr:uid="{87A738D6-A242-401F-9986-3F7C88785DF8}">
      <text>
        <r>
          <rPr>
            <b/>
            <sz val="9"/>
            <color indexed="81"/>
            <rFont val="Tahoma"/>
            <family val="2"/>
          </rPr>
          <t>Rob Burrows:</t>
        </r>
        <r>
          <rPr>
            <sz val="9"/>
            <color indexed="81"/>
            <rFont val="Tahoma"/>
            <family val="2"/>
          </rPr>
          <t xml:space="preserve">
Iso thermal and "wet" snow.</t>
        </r>
      </text>
    </comment>
    <comment ref="Q15" authorId="1" shapeId="0" xr:uid="{DF82A34A-56C8-4A5E-9F89-10E24AF602E6}">
      <text>
        <r>
          <rPr>
            <b/>
            <sz val="9"/>
            <color indexed="81"/>
            <rFont val="Tahoma"/>
            <family val="2"/>
          </rPr>
          <t>Rob Burrows:</t>
        </r>
        <r>
          <rPr>
            <sz val="9"/>
            <color indexed="81"/>
            <rFont val="Tahoma"/>
            <family val="2"/>
          </rPr>
          <t xml:space="preserve">
Iso thermal and "wet" snow.</t>
        </r>
      </text>
    </comment>
    <comment ref="J16" authorId="1" shapeId="0" xr:uid="{EB7F89F8-6131-4BCD-AD84-85CBDF1E319D}">
      <text>
        <r>
          <rPr>
            <b/>
            <sz val="9"/>
            <color indexed="81"/>
            <rFont val="Tahoma"/>
            <family val="2"/>
          </rPr>
          <t>Rob Burrows:</t>
        </r>
        <r>
          <rPr>
            <sz val="9"/>
            <color indexed="81"/>
            <rFont val="Tahoma"/>
            <family val="2"/>
          </rPr>
          <t xml:space="preserve">
This is likely ice loss that occurred after the fall 2014 visit.</t>
        </r>
      </text>
    </comment>
    <comment ref="Q16" authorId="1" shapeId="0" xr:uid="{8421C6D0-B311-4A2F-BBA4-DF3DB901EE18}">
      <text>
        <r>
          <rPr>
            <b/>
            <sz val="9"/>
            <color indexed="81"/>
            <rFont val="Tahoma"/>
            <family val="2"/>
          </rPr>
          <t>Rob Burrows:</t>
        </r>
        <r>
          <rPr>
            <sz val="9"/>
            <color indexed="81"/>
            <rFont val="Tahoma"/>
            <family val="2"/>
          </rPr>
          <t xml:space="preserve">
Highly water saturated snow, particularly at the base of the snowpack.</t>
        </r>
      </text>
    </comment>
    <comment ref="J17" authorId="1" shapeId="0" xr:uid="{6816DEF0-8FDB-4481-8EB5-49746962A785}">
      <text>
        <r>
          <rPr>
            <b/>
            <sz val="9"/>
            <color indexed="81"/>
            <rFont val="Tahoma"/>
            <family val="2"/>
          </rPr>
          <t>Rob Burrows:</t>
        </r>
        <r>
          <rPr>
            <sz val="9"/>
            <color indexed="81"/>
            <rFont val="Tahoma"/>
            <family val="2"/>
          </rPr>
          <t xml:space="preserve">
This is likely ice loss that occurred after the fall 2014 visit.</t>
        </r>
      </text>
    </comment>
    <comment ref="Q17" authorId="1" shapeId="0" xr:uid="{E0E8BD55-5059-452A-BD42-79D2E67DA2AF}">
      <text>
        <r>
          <rPr>
            <b/>
            <sz val="9"/>
            <color indexed="81"/>
            <rFont val="Tahoma"/>
            <family val="2"/>
          </rPr>
          <t>Rob Burrows:</t>
        </r>
        <r>
          <rPr>
            <sz val="9"/>
            <color indexed="81"/>
            <rFont val="Tahoma"/>
            <family val="2"/>
          </rPr>
          <t xml:space="preserve">
Highly water saturated snow, particularly at the base of the snowpack.</t>
        </r>
      </text>
    </comment>
    <comment ref="M18" authorId="1" shapeId="0" xr:uid="{8010CE72-0EA4-413E-9A55-ADF1B5E28AF8}">
      <text>
        <r>
          <rPr>
            <b/>
            <sz val="9"/>
            <color indexed="81"/>
            <rFont val="Tahoma"/>
            <family val="2"/>
          </rPr>
          <t>Rob Burrows:</t>
        </r>
        <r>
          <rPr>
            <sz val="9"/>
            <color indexed="81"/>
            <rFont val="Tahoma"/>
            <family val="2"/>
          </rPr>
          <t xml:space="preserve">
estimated based on measurements at stake 17-B</t>
        </r>
      </text>
    </comment>
    <comment ref="M19" authorId="1" shapeId="0" xr:uid="{6FB5050B-AA7B-43C0-B026-3B777E52C9D2}">
      <text>
        <r>
          <rPr>
            <b/>
            <sz val="9"/>
            <color indexed="81"/>
            <rFont val="Tahoma"/>
            <family val="2"/>
          </rPr>
          <t>Rob Burrows:</t>
        </r>
        <r>
          <rPr>
            <sz val="9"/>
            <color indexed="81"/>
            <rFont val="Tahoma"/>
            <family val="2"/>
          </rPr>
          <t xml:space="preserve">
Measured density of 1.2 m of remaining firn
</t>
        </r>
      </text>
    </comment>
    <comment ref="A26" authorId="0" shapeId="0" xr:uid="{8CA5652C-0B67-43CA-BF08-A2FF236407A4}">
      <text>
        <r>
          <rPr>
            <b/>
            <sz val="8"/>
            <color indexed="81"/>
            <rFont val="Tahoma"/>
            <family val="2"/>
          </rPr>
          <t>GAAdmin:</t>
        </r>
        <r>
          <rPr>
            <sz val="8"/>
            <color indexed="81"/>
            <rFont val="Tahoma"/>
            <family val="2"/>
          </rPr>
          <t xml:space="preserve">
The stake with which the observations were made.</t>
        </r>
      </text>
    </comment>
    <comment ref="B26" authorId="0" shapeId="0" xr:uid="{1FB5FC6E-BD36-4E57-9181-11F904F1EC10}">
      <text>
        <r>
          <rPr>
            <b/>
            <sz val="8"/>
            <color indexed="81"/>
            <rFont val="Tahoma"/>
            <family val="2"/>
          </rPr>
          <t>GAAdmin:</t>
        </r>
        <r>
          <rPr>
            <sz val="8"/>
            <color indexed="81"/>
            <rFont val="Tahoma"/>
            <family val="2"/>
          </rPr>
          <t xml:space="preserve">
Date of observations</t>
        </r>
      </text>
    </comment>
    <comment ref="C26" authorId="2" shapeId="0" xr:uid="{8E284D27-3606-47F2-BFB6-4BEC4D99CA44}">
      <text>
        <r>
          <rPr>
            <b/>
            <sz val="9"/>
            <color indexed="81"/>
            <rFont val="Tahoma"/>
            <family val="2"/>
          </rPr>
          <t>cmcneil:</t>
        </r>
        <r>
          <rPr>
            <sz val="9"/>
            <color indexed="81"/>
            <rFont val="Tahoma"/>
            <family val="2"/>
          </rPr>
          <t xml:space="preserve">
Total length of stake</t>
        </r>
      </text>
    </comment>
    <comment ref="D26" authorId="2" shapeId="0" xr:uid="{2F10583F-AF83-48D0-8401-6C8F31055181}">
      <text>
        <r>
          <rPr>
            <b/>
            <sz val="9"/>
            <color indexed="81"/>
            <rFont val="Tahoma"/>
            <family val="2"/>
          </rPr>
          <t>cmcneil:</t>
        </r>
        <r>
          <rPr>
            <sz val="9"/>
            <color indexed="81"/>
            <rFont val="Tahoma"/>
            <family val="2"/>
          </rPr>
          <t xml:space="preserve">
Length of stake above the surface noted in column D</t>
        </r>
      </text>
    </comment>
    <comment ref="E26" authorId="2" shapeId="0" xr:uid="{F29F45EA-8E91-4298-AC3A-0D10603392D1}">
      <text>
        <r>
          <rPr>
            <b/>
            <sz val="9"/>
            <color indexed="81"/>
            <rFont val="Tahoma"/>
            <family val="2"/>
          </rPr>
          <t>cmcneil:</t>
        </r>
        <r>
          <rPr>
            <sz val="9"/>
            <color indexed="81"/>
            <rFont val="Tahoma"/>
            <family val="2"/>
          </rPr>
          <t xml:space="preserve">
Length of stake still below the surface noted in column D</t>
        </r>
      </text>
    </comment>
    <comment ref="F26" authorId="0" shapeId="0" xr:uid="{613E9E95-ADB3-4EA9-8161-0168135683F0}">
      <text>
        <r>
          <rPr>
            <sz val="8"/>
            <color indexed="81"/>
            <rFont val="Tahoma"/>
            <family val="2"/>
          </rPr>
          <t>Type of surface strata:
Glacier Ice, Snow, Superimposed Ice, Old Firn or New Firn.  For the Fall surveys this should be the surface strata beneath any fresh snow.</t>
        </r>
      </text>
    </comment>
    <comment ref="G26" authorId="0" shapeId="0" xr:uid="{16BC5729-2267-43D2-AE0B-9B2D3A943784}">
      <text>
        <r>
          <rPr>
            <b/>
            <sz val="8"/>
            <color indexed="81"/>
            <rFont val="Tahoma"/>
            <family val="2"/>
          </rPr>
          <t>GAAdmin:</t>
        </r>
        <r>
          <rPr>
            <sz val="8"/>
            <color indexed="81"/>
            <rFont val="Tahoma"/>
            <family val="2"/>
          </rPr>
          <t xml:space="preserve">
Average depth of snow as determined in snow pit.</t>
        </r>
      </text>
    </comment>
    <comment ref="H26" authorId="0" shapeId="0" xr:uid="{6364502F-BAB4-49D8-8A1C-6C6EE1C16779}">
      <text>
        <r>
          <rPr>
            <b/>
            <sz val="8"/>
            <color indexed="81"/>
            <rFont val="Tahoma"/>
            <family val="2"/>
          </rPr>
          <t>GAAdmin:</t>
        </r>
        <r>
          <rPr>
            <sz val="8"/>
            <color indexed="81"/>
            <rFont val="Tahoma"/>
            <family val="2"/>
          </rPr>
          <t xml:space="preserve">
Average depth of snow from probing
</t>
        </r>
      </text>
    </comment>
    <comment ref="I26" authorId="0" shapeId="0" xr:uid="{9BD67DE8-0565-4075-94BD-8704DE1922EA}">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6" authorId="0" shapeId="0" xr:uid="{82168F6D-7B38-4213-ACA9-62A20D3FD8DF}">
      <text>
        <r>
          <rPr>
            <b/>
            <sz val="8"/>
            <color indexed="81"/>
            <rFont val="Tahoma"/>
            <family val="2"/>
          </rPr>
          <t>GAAdmin:</t>
        </r>
        <r>
          <rPr>
            <sz val="8"/>
            <color indexed="81"/>
            <rFont val="Tahoma"/>
            <family val="2"/>
          </rPr>
          <t xml:space="preserve">
Standard Error</t>
        </r>
      </text>
    </comment>
    <comment ref="K26" authorId="0" shapeId="0" xr:uid="{FA8437A2-A8CB-4DFE-B153-8C2F9835B889}">
      <text>
        <r>
          <rPr>
            <b/>
            <sz val="8"/>
            <color indexed="81"/>
            <rFont val="Tahoma"/>
            <family val="2"/>
          </rPr>
          <t>GAAdmin:</t>
        </r>
        <r>
          <rPr>
            <sz val="8"/>
            <color indexed="81"/>
            <rFont val="Tahoma"/>
            <family val="2"/>
          </rPr>
          <t xml:space="preserve">
number of observations of snow depth</t>
        </r>
      </text>
    </comment>
    <comment ref="M26" authorId="0" shapeId="0" xr:uid="{217AB273-CE1A-4A23-B8C7-E4C5E7124AF3}">
      <text>
        <r>
          <rPr>
            <b/>
            <sz val="8"/>
            <color indexed="81"/>
            <rFont val="Tahoma"/>
            <family val="2"/>
          </rPr>
          <t>GAAdmin:</t>
        </r>
        <r>
          <rPr>
            <sz val="8"/>
            <color indexed="81"/>
            <rFont val="Tahoma"/>
            <family val="2"/>
          </rPr>
          <t xml:space="preserve">
This density is estimated and is based on the surface strata of the previous survey.</t>
        </r>
      </text>
    </comment>
    <comment ref="O26" authorId="0" shapeId="0" xr:uid="{AE478253-68BF-4CC6-B296-076B0D56A38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6" authorId="0" shapeId="0" xr:uid="{898B1E03-51D2-40C4-96B8-C5AE06E12A11}">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6" authorId="0" shapeId="0" xr:uid="{DC9CF8B1-9FA5-4290-B4FA-0AAA3E35EDB3}">
      <text>
        <r>
          <rPr>
            <sz val="8"/>
            <color indexed="81"/>
            <rFont val="Tahoma"/>
            <family val="2"/>
          </rPr>
          <t>Average density of the material above ss.</t>
        </r>
      </text>
    </comment>
    <comment ref="S26" authorId="3" shapeId="0" xr:uid="{57C306A0-EE25-4966-95BC-126DB3011C5C}">
      <text>
        <r>
          <rPr>
            <b/>
            <sz val="9"/>
            <color indexed="81"/>
            <rFont val="Tahoma"/>
            <family val="2"/>
          </rPr>
          <t xml:space="preserve">ehbaker:
</t>
        </r>
        <r>
          <rPr>
            <sz val="9"/>
            <color indexed="81"/>
            <rFont val="Tahoma"/>
            <family val="2"/>
          </rPr>
          <t>maximum fraction of snowpack captured by measured density.</t>
        </r>
      </text>
    </comment>
    <comment ref="T26" authorId="2" shapeId="0" xr:uid="{141EAD45-7520-4B0F-90EE-DA0DDD74BFA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6" authorId="2" shapeId="0" xr:uid="{5B95E445-2A91-4248-A65D-C84361A553F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6" authorId="2" shapeId="0" xr:uid="{F0F7F0A5-D66E-4E1E-9882-A210FFCD753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6" authorId="2" shapeId="0" xr:uid="{B9692AF9-C605-4476-A298-562D6937A60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6" authorId="2" shapeId="0" xr:uid="{39458D31-7E2B-48E5-8E9B-0DCDA9C899E6}">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29" authorId="3" shapeId="0" xr:uid="{BF28EC1F-9E81-4181-BA50-5E0670E997F5}">
      <text>
        <r>
          <rPr>
            <b/>
            <sz val="9"/>
            <color indexed="81"/>
            <rFont val="Tahoma"/>
            <family val="2"/>
          </rPr>
          <t>ehbaker:</t>
        </r>
        <r>
          <rPr>
            <sz val="9"/>
            <color indexed="81"/>
            <rFont val="Tahoma"/>
            <family val="2"/>
          </rPr>
          <t xml:space="preserve">
Concerning that these two do not match; both are supposed to be depth of summer 2013 surface.</t>
        </r>
      </text>
    </comment>
    <comment ref="Q29" authorId="3" shapeId="0" xr:uid="{B49E771D-9622-49A9-B0B7-AE27236D50F0}">
      <text>
        <r>
          <rPr>
            <b/>
            <sz val="9"/>
            <color indexed="81"/>
            <rFont val="Tahoma"/>
            <family val="2"/>
          </rPr>
          <t>ehbaker:</t>
        </r>
        <r>
          <rPr>
            <sz val="9"/>
            <color indexed="81"/>
            <rFont val="Tahoma"/>
            <family val="2"/>
          </rPr>
          <t xml:space="preserve">
assumed density for new firn</t>
        </r>
      </text>
    </comment>
    <comment ref="Q30" authorId="3" shapeId="0" xr:uid="{16BAAD8E-AA4A-42F3-9C2A-5BFC76CF8364}">
      <text>
        <r>
          <rPr>
            <b/>
            <sz val="9"/>
            <color indexed="81"/>
            <rFont val="Tahoma"/>
            <family val="2"/>
          </rPr>
          <t>Using density measured at k17-B site</t>
        </r>
      </text>
    </comment>
    <comment ref="Q31" authorId="3" shapeId="0" xr:uid="{C5A8EC69-C77D-448A-81BE-107D127D2182}">
      <text>
        <r>
          <rPr>
            <b/>
            <sz val="9"/>
            <color indexed="81"/>
            <rFont val="Tahoma"/>
            <family val="2"/>
          </rPr>
          <t>ehbaker:</t>
        </r>
        <r>
          <rPr>
            <sz val="9"/>
            <color indexed="81"/>
            <rFont val="Tahoma"/>
            <family val="2"/>
          </rPr>
          <t xml:space="preserve">
assumed density for new firn</t>
        </r>
      </text>
    </comment>
    <comment ref="Q32" authorId="3" shapeId="0" xr:uid="{F812D2B4-069D-407C-B372-73F15CD3C046}">
      <text>
        <r>
          <rPr>
            <b/>
            <sz val="9"/>
            <color indexed="81"/>
            <rFont val="Tahoma"/>
            <family val="2"/>
          </rPr>
          <t>ehbaker:</t>
        </r>
        <r>
          <rPr>
            <sz val="9"/>
            <color indexed="81"/>
            <rFont val="Tahoma"/>
            <family val="2"/>
          </rPr>
          <t xml:space="preserve">
assumed density for new snow in fall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2AF3BF1C-63C9-4085-A41F-AF63E36CCBC2}">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B2CFB84A-DFD1-4019-9338-ECF3AA09ED6F}">
      <text>
        <r>
          <rPr>
            <sz val="8"/>
            <color indexed="81"/>
            <rFont val="Tahoma"/>
            <family val="2"/>
          </rPr>
          <t>This is the amount of snow that is above the summer surface.  The value should always be positive or zero.</t>
        </r>
      </text>
    </comment>
    <comment ref="A3" authorId="0" shapeId="0" xr:uid="{86C8BE4E-3043-4FBE-93C5-AE922CE4912B}">
      <text>
        <r>
          <rPr>
            <b/>
            <sz val="8"/>
            <color indexed="81"/>
            <rFont val="Tahoma"/>
            <family val="2"/>
          </rPr>
          <t>GAAdmin:</t>
        </r>
        <r>
          <rPr>
            <sz val="8"/>
            <color indexed="81"/>
            <rFont val="Tahoma"/>
            <family val="2"/>
          </rPr>
          <t xml:space="preserve">
The stake with which the observations were made.</t>
        </r>
      </text>
    </comment>
    <comment ref="B3" authorId="0" shapeId="0" xr:uid="{DDF03E62-CE38-4595-8966-ADC15C1BF5EB}">
      <text>
        <r>
          <rPr>
            <b/>
            <sz val="8"/>
            <color indexed="81"/>
            <rFont val="Tahoma"/>
            <family val="2"/>
          </rPr>
          <t>GAAdmin:</t>
        </r>
        <r>
          <rPr>
            <sz val="8"/>
            <color indexed="81"/>
            <rFont val="Tahoma"/>
            <family val="2"/>
          </rPr>
          <t xml:space="preserve">
Date of observations</t>
        </r>
      </text>
    </comment>
    <comment ref="C3" authorId="0" shapeId="0" xr:uid="{F5B3A4F1-9CDA-4E91-9727-AA2E52456AF0}">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6B1FF5CB-9381-4ADA-9F77-E848D7177BE8}">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12EE9EED-BE62-4ED4-880C-28F6643AE68C}">
      <text>
        <r>
          <rPr>
            <sz val="8"/>
            <color indexed="81"/>
            <rFont val="Tahoma"/>
            <family val="2"/>
          </rPr>
          <t>Type of surface strata:
Glacier Ice, Snow, Superimposed Ice, Old Firn or New Firn.  For the Fall surveys this should be the surface strata beneath any fresh snow.</t>
        </r>
      </text>
    </comment>
    <comment ref="G3" authorId="0" shapeId="0" xr:uid="{A6E53058-ED73-4F87-AD4C-7C7D043EB503}">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C54479DC-0237-4C6F-9EBD-CD5550749757}">
      <text>
        <r>
          <rPr>
            <b/>
            <sz val="8"/>
            <color indexed="81"/>
            <rFont val="Tahoma"/>
            <family val="2"/>
          </rPr>
          <t>GAAdmin:</t>
        </r>
        <r>
          <rPr>
            <sz val="8"/>
            <color indexed="81"/>
            <rFont val="Tahoma"/>
            <family val="2"/>
          </rPr>
          <t xml:space="preserve">
Average depth of snow from probing
</t>
        </r>
      </text>
    </comment>
    <comment ref="I3" authorId="0" shapeId="0" xr:uid="{0CDAEADA-10D9-43B4-BDD7-804C3B2F0445}">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83BB7590-1EB1-4868-ABCD-4C7687A4B919}">
      <text>
        <r>
          <rPr>
            <b/>
            <sz val="8"/>
            <color indexed="81"/>
            <rFont val="Tahoma"/>
            <family val="2"/>
          </rPr>
          <t>GAAdmin:</t>
        </r>
        <r>
          <rPr>
            <sz val="8"/>
            <color indexed="81"/>
            <rFont val="Tahoma"/>
            <family val="2"/>
          </rPr>
          <t xml:space="preserve">
number of observations of snow depth</t>
        </r>
      </text>
    </comment>
    <comment ref="L3" authorId="0" shapeId="0" xr:uid="{152C59F3-E4B9-4FB8-850C-B98F2592FA05}">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8B556121-2434-4A68-A4FA-5ED3EFA0F8B3}">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F1B84603-7990-4511-A7F7-536E3592BFE7}">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091BBA95-C69B-4B8F-B11B-57D204679AAC}">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E0BEE80F-7057-4C76-8F17-F7AA4F519AC3}">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4B94195-A55B-4A0A-9751-AB57D0331BB3}">
      <text>
        <r>
          <rPr>
            <sz val="8"/>
            <color indexed="81"/>
            <rFont val="Tahoma"/>
            <family val="2"/>
          </rPr>
          <t>Average density of the material above ss.</t>
        </r>
      </text>
    </comment>
    <comment ref="R3" authorId="0" shapeId="0" xr:uid="{C8DEE44C-C59B-4817-94E0-EF81D8D78B3B}">
      <text>
        <r>
          <rPr>
            <b/>
            <sz val="8"/>
            <color indexed="81"/>
            <rFont val="Tahoma"/>
            <family val="2"/>
          </rPr>
          <t>GAAdmin:</t>
        </r>
        <r>
          <rPr>
            <sz val="8"/>
            <color indexed="81"/>
            <rFont val="Tahoma"/>
            <family val="2"/>
          </rPr>
          <t xml:space="preserve">
Is the Density Estimated (E) or is it Measured (M) ?</t>
        </r>
      </text>
    </comment>
    <comment ref="S3" authorId="0" shapeId="0" xr:uid="{A81B0B04-FADE-430B-95AD-B9CE1357A706}">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BD6324D-BC76-427C-9F02-51946C1C0687}">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507EFC41-6FBD-43DB-8D4B-44F5DC5E58F6}">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1C8F924E-E547-467B-BDA5-F7D47A514C8D}">
      <text/>
    </comment>
    <comment ref="J5" authorId="1" shapeId="0" xr:uid="{7928492C-5895-44F3-9B17-30B296C398AA}">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A11" authorId="0" shapeId="0" xr:uid="{9B1F1285-FE59-4F1F-9F80-048CA3B921A0}">
      <text>
        <r>
          <rPr>
            <b/>
            <sz val="8"/>
            <color indexed="81"/>
            <rFont val="Tahoma"/>
            <family val="2"/>
          </rPr>
          <t>GAAdmin:</t>
        </r>
        <r>
          <rPr>
            <sz val="8"/>
            <color indexed="81"/>
            <rFont val="Tahoma"/>
            <family val="2"/>
          </rPr>
          <t xml:space="preserve">
The stake with which the observations were made.</t>
        </r>
      </text>
    </comment>
    <comment ref="B11" authorId="0" shapeId="0" xr:uid="{6FBDFFD7-EB5D-4BA8-AEDB-6FCFFF083FE1}">
      <text>
        <r>
          <rPr>
            <b/>
            <sz val="8"/>
            <color indexed="81"/>
            <rFont val="Tahoma"/>
            <family val="2"/>
          </rPr>
          <t>GAAdmin:</t>
        </r>
        <r>
          <rPr>
            <sz val="8"/>
            <color indexed="81"/>
            <rFont val="Tahoma"/>
            <family val="2"/>
          </rPr>
          <t xml:space="preserve">
Date of observations</t>
        </r>
      </text>
    </comment>
    <comment ref="C11" authorId="2" shapeId="0" xr:uid="{62466B20-248A-403A-8605-FE145356A67F}">
      <text>
        <r>
          <rPr>
            <b/>
            <sz val="9"/>
            <color indexed="81"/>
            <rFont val="Tahoma"/>
            <family val="2"/>
          </rPr>
          <t>cmcneil:</t>
        </r>
        <r>
          <rPr>
            <sz val="9"/>
            <color indexed="81"/>
            <rFont val="Tahoma"/>
            <family val="2"/>
          </rPr>
          <t xml:space="preserve">
Total length of stake</t>
        </r>
      </text>
    </comment>
    <comment ref="D11" authorId="2" shapeId="0" xr:uid="{A2F92D09-1F63-4A52-87EA-7480581A9146}">
      <text>
        <r>
          <rPr>
            <b/>
            <sz val="9"/>
            <color indexed="81"/>
            <rFont val="Tahoma"/>
            <family val="2"/>
          </rPr>
          <t>cmcneil:</t>
        </r>
        <r>
          <rPr>
            <sz val="9"/>
            <color indexed="81"/>
            <rFont val="Tahoma"/>
            <family val="2"/>
          </rPr>
          <t xml:space="preserve">
Length of stake above the surface noted in column D</t>
        </r>
      </text>
    </comment>
    <comment ref="E11" authorId="2" shapeId="0" xr:uid="{247A8DF2-DCF2-4F2F-B535-0C9C9754BAC7}">
      <text>
        <r>
          <rPr>
            <b/>
            <sz val="9"/>
            <color indexed="81"/>
            <rFont val="Tahoma"/>
            <family val="2"/>
          </rPr>
          <t>cmcneil:</t>
        </r>
        <r>
          <rPr>
            <sz val="9"/>
            <color indexed="81"/>
            <rFont val="Tahoma"/>
            <family val="2"/>
          </rPr>
          <t xml:space="preserve">
Length of stake still below the surface noted in column D</t>
        </r>
      </text>
    </comment>
    <comment ref="F11" authorId="0" shapeId="0" xr:uid="{BFA87F6B-C0C5-452E-8EE6-087D9C841DFB}">
      <text>
        <r>
          <rPr>
            <sz val="8"/>
            <color indexed="81"/>
            <rFont val="Tahoma"/>
            <family val="2"/>
          </rPr>
          <t>Type of surface strata:
Glacier Ice, Snow, Superimposed Ice, Old Firn or New Firn.  For the Fall surveys this should be the surface strata beneath any fresh snow.</t>
        </r>
      </text>
    </comment>
    <comment ref="G11" authorId="0" shapeId="0" xr:uid="{0E86FA00-4BE0-4D19-B705-6EF26FF1C2E0}">
      <text>
        <r>
          <rPr>
            <b/>
            <sz val="8"/>
            <color indexed="81"/>
            <rFont val="Tahoma"/>
            <family val="2"/>
          </rPr>
          <t>GAAdmin:</t>
        </r>
        <r>
          <rPr>
            <sz val="8"/>
            <color indexed="81"/>
            <rFont val="Tahoma"/>
            <family val="2"/>
          </rPr>
          <t xml:space="preserve">
Average depth of snow as determined in snow pit.</t>
        </r>
      </text>
    </comment>
    <comment ref="H11" authorId="0" shapeId="0" xr:uid="{87165315-1810-41BC-83AF-EB13D4FF7D4D}">
      <text>
        <r>
          <rPr>
            <b/>
            <sz val="8"/>
            <color indexed="81"/>
            <rFont val="Tahoma"/>
            <family val="2"/>
          </rPr>
          <t>GAAdmin:</t>
        </r>
        <r>
          <rPr>
            <sz val="8"/>
            <color indexed="81"/>
            <rFont val="Tahoma"/>
            <family val="2"/>
          </rPr>
          <t xml:space="preserve">
Average depth of snow from probing
</t>
        </r>
      </text>
    </comment>
    <comment ref="I11" authorId="0" shapeId="0" xr:uid="{8594A0F9-DC7F-42DE-9834-3F2C34A50DC4}">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1" authorId="0" shapeId="0" xr:uid="{D8F20045-027F-4DE8-A1FA-4B9B6D29387C}">
      <text>
        <r>
          <rPr>
            <b/>
            <sz val="8"/>
            <color indexed="81"/>
            <rFont val="Tahoma"/>
            <family val="2"/>
          </rPr>
          <t>GAAdmin:</t>
        </r>
        <r>
          <rPr>
            <sz val="8"/>
            <color indexed="81"/>
            <rFont val="Tahoma"/>
            <family val="2"/>
          </rPr>
          <t xml:space="preserve">
Standard Error</t>
        </r>
      </text>
    </comment>
    <comment ref="K11" authorId="0" shapeId="0" xr:uid="{CB97483B-3C81-4640-8FFE-5631561BA91D}">
      <text>
        <r>
          <rPr>
            <b/>
            <sz val="8"/>
            <color indexed="81"/>
            <rFont val="Tahoma"/>
            <family val="2"/>
          </rPr>
          <t>GAAdmin:</t>
        </r>
        <r>
          <rPr>
            <sz val="8"/>
            <color indexed="81"/>
            <rFont val="Tahoma"/>
            <family val="2"/>
          </rPr>
          <t xml:space="preserve">
number of observations of snow depth</t>
        </r>
      </text>
    </comment>
    <comment ref="M11" authorId="0" shapeId="0" xr:uid="{76FCCA71-521E-419C-BDC9-EF7D786A1556}">
      <text>
        <r>
          <rPr>
            <b/>
            <sz val="8"/>
            <color indexed="81"/>
            <rFont val="Tahoma"/>
            <family val="2"/>
          </rPr>
          <t>GAAdmin:</t>
        </r>
        <r>
          <rPr>
            <sz val="8"/>
            <color indexed="81"/>
            <rFont val="Tahoma"/>
            <family val="2"/>
          </rPr>
          <t xml:space="preserve">
This density is estimated and is based on the surface strata of the previous survey.</t>
        </r>
      </text>
    </comment>
    <comment ref="O11" authorId="0" shapeId="0" xr:uid="{7D541F1F-FA25-4ED3-8FC1-50C03990771A}">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1" authorId="0" shapeId="0" xr:uid="{7D591F3A-E44E-4744-B71F-231F4632ABD1}">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1" authorId="0" shapeId="0" xr:uid="{554BC7CA-94FE-4CF6-A933-7A6AEC9A5B4C}">
      <text>
        <r>
          <rPr>
            <sz val="8"/>
            <color indexed="81"/>
            <rFont val="Tahoma"/>
            <family val="2"/>
          </rPr>
          <t>Average density of the material above ss.</t>
        </r>
      </text>
    </comment>
    <comment ref="S11" authorId="3" shapeId="0" xr:uid="{E1F1C670-596D-4BA8-8591-41129ACADE8B}">
      <text>
        <r>
          <rPr>
            <b/>
            <sz val="9"/>
            <color indexed="81"/>
            <rFont val="Tahoma"/>
            <family val="2"/>
          </rPr>
          <t xml:space="preserve">ehbaker:
</t>
        </r>
        <r>
          <rPr>
            <sz val="9"/>
            <color indexed="81"/>
            <rFont val="Tahoma"/>
            <family val="2"/>
          </rPr>
          <t>maximum fraction of snowpack captured by measured density.</t>
        </r>
      </text>
    </comment>
    <comment ref="T11" authorId="2" shapeId="0" xr:uid="{2B21D5D3-A2AC-4B57-93DD-4ED21717AE6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1" authorId="2" shapeId="0" xr:uid="{CA2B9321-55FB-431A-AC64-AF4CE9BC13C7}">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1" authorId="2" shapeId="0" xr:uid="{B193917D-1EEA-4EDB-B31F-E063F9BEEFB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1" authorId="2" shapeId="0" xr:uid="{FD7DCB23-C16B-4BFF-809F-A0290246EB3F}">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1" authorId="2" shapeId="0" xr:uid="{D50833F2-5A66-48AD-9140-26FEECE8FF73}">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0307A599-9455-4210-8730-CA78C37FC886}">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706DA7EF-4C4B-4FF1-8736-DC316BF9D1D0}">
      <text>
        <r>
          <rPr>
            <sz val="8"/>
            <color indexed="81"/>
            <rFont val="Tahoma"/>
            <family val="2"/>
          </rPr>
          <t>This is the amount of snow that is above the summer surface.  The value should always be positive or zero.</t>
        </r>
      </text>
    </comment>
    <comment ref="A3" authorId="0" shapeId="0" xr:uid="{5ACCA584-089C-402B-8385-E7EDCF39AC6E}">
      <text>
        <r>
          <rPr>
            <b/>
            <sz val="8"/>
            <color indexed="81"/>
            <rFont val="Tahoma"/>
            <family val="2"/>
          </rPr>
          <t>GAAdmin:</t>
        </r>
        <r>
          <rPr>
            <sz val="8"/>
            <color indexed="81"/>
            <rFont val="Tahoma"/>
            <family val="2"/>
          </rPr>
          <t xml:space="preserve">
The stake with which the observations were made.</t>
        </r>
      </text>
    </comment>
    <comment ref="B3" authorId="0" shapeId="0" xr:uid="{4E239AAE-5BE3-4D7A-91FF-D50D477ED364}">
      <text>
        <r>
          <rPr>
            <b/>
            <sz val="8"/>
            <color indexed="81"/>
            <rFont val="Tahoma"/>
            <family val="2"/>
          </rPr>
          <t>GAAdmin:</t>
        </r>
        <r>
          <rPr>
            <sz val="8"/>
            <color indexed="81"/>
            <rFont val="Tahoma"/>
            <family val="2"/>
          </rPr>
          <t xml:space="preserve">
Date of observations</t>
        </r>
      </text>
    </comment>
    <comment ref="C3" authorId="0" shapeId="0" xr:uid="{2B80EF47-F05F-4C08-AD0E-54689788FBBE}">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327385F8-3F76-4706-81BA-30C926CB9211}">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346EF431-A5E3-4138-8514-428D9FC6FB04}">
      <text>
        <r>
          <rPr>
            <sz val="8"/>
            <color indexed="81"/>
            <rFont val="Tahoma"/>
            <family val="2"/>
          </rPr>
          <t>Type of surface strata:
Glacier Ice, Snow, Superimposed Ice, Old Firn or New Firn.  For the Fall surveys this should be the surface strata beneath any fresh snow.</t>
        </r>
      </text>
    </comment>
    <comment ref="G3" authorId="0" shapeId="0" xr:uid="{8BD28A5A-4782-4E76-A993-7F95C5AAC365}">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B6B25B0B-2ADA-4E56-919B-F02333199970}">
      <text>
        <r>
          <rPr>
            <b/>
            <sz val="8"/>
            <color indexed="81"/>
            <rFont val="Tahoma"/>
            <family val="2"/>
          </rPr>
          <t>GAAdmin:</t>
        </r>
        <r>
          <rPr>
            <sz val="8"/>
            <color indexed="81"/>
            <rFont val="Tahoma"/>
            <family val="2"/>
          </rPr>
          <t xml:space="preserve">
Average depth of snow from probing
</t>
        </r>
      </text>
    </comment>
    <comment ref="I3" authorId="0" shapeId="0" xr:uid="{CBFC5C9F-2FD4-4C11-96B3-FF671EF8F30B}">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8B53200B-70D9-4CBC-8C06-D812443C4058}">
      <text>
        <r>
          <rPr>
            <b/>
            <sz val="8"/>
            <color indexed="81"/>
            <rFont val="Tahoma"/>
            <family val="2"/>
          </rPr>
          <t>GAAdmin:</t>
        </r>
        <r>
          <rPr>
            <sz val="8"/>
            <color indexed="81"/>
            <rFont val="Tahoma"/>
            <family val="2"/>
          </rPr>
          <t xml:space="preserve">
number of observations of snow depth</t>
        </r>
      </text>
    </comment>
    <comment ref="L3" authorId="0" shapeId="0" xr:uid="{8A3A9DB1-55EE-4C34-8370-09E2D85C7B45}">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C294F652-C8B3-4848-899E-15F05B46F1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4751D1F2-A50C-4F73-8070-CDE7F0009CBF}">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2F24584A-8AC6-45BC-ABC0-F98F321E8586}">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FADD93D8-7409-4C88-B666-88336D6B09FC}">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F860B96F-0FB3-4E97-8E92-75E22AD1EBD1}">
      <text>
        <r>
          <rPr>
            <sz val="8"/>
            <color indexed="81"/>
            <rFont val="Tahoma"/>
            <family val="2"/>
          </rPr>
          <t>Average density of the material above ss.</t>
        </r>
      </text>
    </comment>
    <comment ref="R3" authorId="0" shapeId="0" xr:uid="{FA653E7C-BF61-424B-A492-3C208511DED6}">
      <text>
        <r>
          <rPr>
            <b/>
            <sz val="8"/>
            <color indexed="81"/>
            <rFont val="Tahoma"/>
            <family val="2"/>
          </rPr>
          <t>GAAdmin:</t>
        </r>
        <r>
          <rPr>
            <sz val="8"/>
            <color indexed="81"/>
            <rFont val="Tahoma"/>
            <family val="2"/>
          </rPr>
          <t xml:space="preserve">
Is the Density Estimated (E) or is it Measured (M) ?</t>
        </r>
      </text>
    </comment>
    <comment ref="S3" authorId="0" shapeId="0" xr:uid="{5FEAAD69-4A8D-4E08-9BB6-186031A3025A}">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47BE2FC6-4956-479C-BD53-46CC11EEBBB1}">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FE6531FD-5102-481D-B507-9941360C9716}">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639BD089-0D43-4FA7-A4AC-49DF9E9C3AB1}">
      <text/>
    </comment>
    <comment ref="J5" authorId="1" shapeId="0" xr:uid="{8582CD37-97FE-4E7A-ADC9-959ED0E8116E}">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J6" authorId="1" shapeId="0" xr:uid="{F0553E9E-AFA8-4AE8-B4F4-B5E224858898}">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J14" authorId="1" shapeId="0" xr:uid="{02C5D83F-876D-4FA8-ADB2-16D3FF860119}">
      <text>
        <r>
          <rPr>
            <b/>
            <sz val="9"/>
            <color indexed="81"/>
            <rFont val="Tahoma"/>
            <family val="2"/>
          </rPr>
          <t>Rob Burrows:</t>
        </r>
        <r>
          <rPr>
            <sz val="9"/>
            <color indexed="81"/>
            <rFont val="Tahoma"/>
            <family val="2"/>
          </rPr>
          <t xml:space="preserve">
These values show that snow probing penetrated into the new firn by up to 1.12 m.  Will use the previous fall's b'ss instead for any calcs.</t>
        </r>
      </text>
    </comment>
    <comment ref="Q14" authorId="1" shapeId="0" xr:uid="{083C2C72-FB0E-4C37-8D80-C9A60EDF638B}">
      <text>
        <r>
          <rPr>
            <b/>
            <sz val="9"/>
            <color indexed="81"/>
            <rFont val="Tahoma"/>
            <family val="2"/>
          </rPr>
          <t>Rob Burrows:</t>
        </r>
        <r>
          <rPr>
            <sz val="9"/>
            <color indexed="81"/>
            <rFont val="Tahoma"/>
            <family val="2"/>
          </rPr>
          <t xml:space="preserve">
Iso thermal and "wet" snow.</t>
        </r>
      </text>
    </comment>
    <comment ref="Q15" authorId="1" shapeId="0" xr:uid="{86B16A96-AF39-421A-A81C-2EE7FE659404}">
      <text>
        <r>
          <rPr>
            <b/>
            <sz val="9"/>
            <color indexed="81"/>
            <rFont val="Tahoma"/>
            <family val="2"/>
          </rPr>
          <t>Rob Burrows:</t>
        </r>
        <r>
          <rPr>
            <sz val="9"/>
            <color indexed="81"/>
            <rFont val="Tahoma"/>
            <family val="2"/>
          </rPr>
          <t xml:space="preserve">
Iso thermal and "wet" snow.</t>
        </r>
      </text>
    </comment>
    <comment ref="J16" authorId="1" shapeId="0" xr:uid="{0FEA80D6-5048-457E-A886-DD2748008B9C}">
      <text>
        <r>
          <rPr>
            <b/>
            <sz val="9"/>
            <color indexed="81"/>
            <rFont val="Tahoma"/>
            <family val="2"/>
          </rPr>
          <t>Rob Burrows:</t>
        </r>
        <r>
          <rPr>
            <sz val="9"/>
            <color indexed="81"/>
            <rFont val="Tahoma"/>
            <family val="2"/>
          </rPr>
          <t xml:space="preserve">
This is likely ice loss that occurred after the fall 2014 visit.</t>
        </r>
      </text>
    </comment>
    <comment ref="Q16" authorId="1" shapeId="0" xr:uid="{393E103F-492D-4730-83E5-73658A7FB8AF}">
      <text>
        <r>
          <rPr>
            <b/>
            <sz val="9"/>
            <color indexed="81"/>
            <rFont val="Tahoma"/>
            <family val="2"/>
          </rPr>
          <t>Rob Burrows:</t>
        </r>
        <r>
          <rPr>
            <sz val="9"/>
            <color indexed="81"/>
            <rFont val="Tahoma"/>
            <family val="2"/>
          </rPr>
          <t xml:space="preserve">
Highly water saturated snow, particularly at the base of the snowpack.</t>
        </r>
      </text>
    </comment>
    <comment ref="J17" authorId="1" shapeId="0" xr:uid="{E503C268-7142-4631-B5ED-4435076C7778}">
      <text>
        <r>
          <rPr>
            <b/>
            <sz val="9"/>
            <color indexed="81"/>
            <rFont val="Tahoma"/>
            <family val="2"/>
          </rPr>
          <t>Rob Burrows:</t>
        </r>
        <r>
          <rPr>
            <sz val="9"/>
            <color indexed="81"/>
            <rFont val="Tahoma"/>
            <family val="2"/>
          </rPr>
          <t xml:space="preserve">
This is likely ice loss that occurred after the fall 2014 visit.</t>
        </r>
      </text>
    </comment>
    <comment ref="Q17" authorId="1" shapeId="0" xr:uid="{22986011-33A3-42AC-9BA9-E8AD830BC3EA}">
      <text>
        <r>
          <rPr>
            <b/>
            <sz val="9"/>
            <color indexed="81"/>
            <rFont val="Tahoma"/>
            <family val="2"/>
          </rPr>
          <t>Rob Burrows:</t>
        </r>
        <r>
          <rPr>
            <sz val="9"/>
            <color indexed="81"/>
            <rFont val="Tahoma"/>
            <family val="2"/>
          </rPr>
          <t xml:space="preserve">
Highly water saturated snow, particularly at the base of the snowpack.</t>
        </r>
      </text>
    </comment>
    <comment ref="M18" authorId="1" shapeId="0" xr:uid="{8611C9AD-4BAD-4985-B623-6929A6A392B3}">
      <text>
        <r>
          <rPr>
            <b/>
            <sz val="9"/>
            <color indexed="81"/>
            <rFont val="Tahoma"/>
            <family val="2"/>
          </rPr>
          <t>Rob Burrows:</t>
        </r>
        <r>
          <rPr>
            <sz val="9"/>
            <color indexed="81"/>
            <rFont val="Tahoma"/>
            <family val="2"/>
          </rPr>
          <t xml:space="preserve">
estimated based on measurements at stake 17-B</t>
        </r>
      </text>
    </comment>
    <comment ref="M19" authorId="1" shapeId="0" xr:uid="{26B5A517-5FC7-497C-97E0-0E4474F28D79}">
      <text>
        <r>
          <rPr>
            <b/>
            <sz val="9"/>
            <color indexed="81"/>
            <rFont val="Tahoma"/>
            <family val="2"/>
          </rPr>
          <t>Rob Burrows:</t>
        </r>
        <r>
          <rPr>
            <sz val="9"/>
            <color indexed="81"/>
            <rFont val="Tahoma"/>
            <family val="2"/>
          </rPr>
          <t xml:space="preserve">
Measured density of 1.2 m of remaining firn
</t>
        </r>
      </text>
    </comment>
    <comment ref="A26" authorId="0" shapeId="0" xr:uid="{CC3F350F-8107-402C-9992-F86743D7B73E}">
      <text>
        <r>
          <rPr>
            <b/>
            <sz val="8"/>
            <color indexed="81"/>
            <rFont val="Tahoma"/>
            <family val="2"/>
          </rPr>
          <t>GAAdmin:</t>
        </r>
        <r>
          <rPr>
            <sz val="8"/>
            <color indexed="81"/>
            <rFont val="Tahoma"/>
            <family val="2"/>
          </rPr>
          <t xml:space="preserve">
The stake with which the observations were made.</t>
        </r>
      </text>
    </comment>
    <comment ref="B26" authorId="0" shapeId="0" xr:uid="{A5D5A11A-28DB-4763-A8E8-426BC52A9AC0}">
      <text>
        <r>
          <rPr>
            <b/>
            <sz val="8"/>
            <color indexed="81"/>
            <rFont val="Tahoma"/>
            <family val="2"/>
          </rPr>
          <t>GAAdmin:</t>
        </r>
        <r>
          <rPr>
            <sz val="8"/>
            <color indexed="81"/>
            <rFont val="Tahoma"/>
            <family val="2"/>
          </rPr>
          <t xml:space="preserve">
Date of observations</t>
        </r>
      </text>
    </comment>
    <comment ref="C26" authorId="2" shapeId="0" xr:uid="{A9E13A8E-3C9B-454D-93CD-8A0B724BD5A7}">
      <text>
        <r>
          <rPr>
            <b/>
            <sz val="9"/>
            <color indexed="81"/>
            <rFont val="Tahoma"/>
            <family val="2"/>
          </rPr>
          <t>cmcneil:</t>
        </r>
        <r>
          <rPr>
            <sz val="9"/>
            <color indexed="81"/>
            <rFont val="Tahoma"/>
            <family val="2"/>
          </rPr>
          <t xml:space="preserve">
Total length of stake</t>
        </r>
      </text>
    </comment>
    <comment ref="D26" authorId="2" shapeId="0" xr:uid="{43619030-B288-4728-87F3-4D7BAA343961}">
      <text>
        <r>
          <rPr>
            <b/>
            <sz val="9"/>
            <color indexed="81"/>
            <rFont val="Tahoma"/>
            <family val="2"/>
          </rPr>
          <t>cmcneil:</t>
        </r>
        <r>
          <rPr>
            <sz val="9"/>
            <color indexed="81"/>
            <rFont val="Tahoma"/>
            <family val="2"/>
          </rPr>
          <t xml:space="preserve">
Length of stake above the surface noted in column D</t>
        </r>
      </text>
    </comment>
    <comment ref="E26" authorId="2" shapeId="0" xr:uid="{A60FBA2D-9DB9-49FC-8C40-3D15B22BC8EE}">
      <text>
        <r>
          <rPr>
            <b/>
            <sz val="9"/>
            <color indexed="81"/>
            <rFont val="Tahoma"/>
            <family val="2"/>
          </rPr>
          <t>cmcneil:</t>
        </r>
        <r>
          <rPr>
            <sz val="9"/>
            <color indexed="81"/>
            <rFont val="Tahoma"/>
            <family val="2"/>
          </rPr>
          <t xml:space="preserve">
Length of stake still below the surface noted in column D</t>
        </r>
      </text>
    </comment>
    <comment ref="F26" authorId="0" shapeId="0" xr:uid="{AD3AEC23-2780-4674-9B07-52C1717667ED}">
      <text>
        <r>
          <rPr>
            <sz val="8"/>
            <color indexed="81"/>
            <rFont val="Tahoma"/>
            <family val="2"/>
          </rPr>
          <t>Type of surface strata:
Glacier Ice, Snow, Superimposed Ice, Old Firn or New Firn.  For the Fall surveys this should be the surface strata beneath any fresh snow.</t>
        </r>
      </text>
    </comment>
    <comment ref="G26" authorId="0" shapeId="0" xr:uid="{371CA750-5AF0-4157-B2D2-A177198D7461}">
      <text>
        <r>
          <rPr>
            <b/>
            <sz val="8"/>
            <color indexed="81"/>
            <rFont val="Tahoma"/>
            <family val="2"/>
          </rPr>
          <t>GAAdmin:</t>
        </r>
        <r>
          <rPr>
            <sz val="8"/>
            <color indexed="81"/>
            <rFont val="Tahoma"/>
            <family val="2"/>
          </rPr>
          <t xml:space="preserve">
Average depth of snow as determined in snow pit.</t>
        </r>
      </text>
    </comment>
    <comment ref="H26" authorId="0" shapeId="0" xr:uid="{10E27EC1-FB56-4717-AFAB-190E380323F9}">
      <text>
        <r>
          <rPr>
            <b/>
            <sz val="8"/>
            <color indexed="81"/>
            <rFont val="Tahoma"/>
            <family val="2"/>
          </rPr>
          <t>GAAdmin:</t>
        </r>
        <r>
          <rPr>
            <sz val="8"/>
            <color indexed="81"/>
            <rFont val="Tahoma"/>
            <family val="2"/>
          </rPr>
          <t xml:space="preserve">
Average depth of snow from probing
</t>
        </r>
      </text>
    </comment>
    <comment ref="I26" authorId="0" shapeId="0" xr:uid="{D0DE80F5-EAE7-4A84-9472-EE88749C72CE}">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6" authorId="0" shapeId="0" xr:uid="{B0F8945A-CC6C-47F5-B6BD-D7234940967D}">
      <text>
        <r>
          <rPr>
            <b/>
            <sz val="8"/>
            <color indexed="81"/>
            <rFont val="Tahoma"/>
            <family val="2"/>
          </rPr>
          <t>GAAdmin:</t>
        </r>
        <r>
          <rPr>
            <sz val="8"/>
            <color indexed="81"/>
            <rFont val="Tahoma"/>
            <family val="2"/>
          </rPr>
          <t xml:space="preserve">
Standard Error</t>
        </r>
      </text>
    </comment>
    <comment ref="K26" authorId="0" shapeId="0" xr:uid="{6CA3C5C9-75A6-4F2F-8230-627BB7CF4ADB}">
      <text>
        <r>
          <rPr>
            <b/>
            <sz val="8"/>
            <color indexed="81"/>
            <rFont val="Tahoma"/>
            <family val="2"/>
          </rPr>
          <t>GAAdmin:</t>
        </r>
        <r>
          <rPr>
            <sz val="8"/>
            <color indexed="81"/>
            <rFont val="Tahoma"/>
            <family val="2"/>
          </rPr>
          <t xml:space="preserve">
number of observations of snow depth</t>
        </r>
      </text>
    </comment>
    <comment ref="M26" authorId="0" shapeId="0" xr:uid="{880BEFB3-2875-4BFD-919E-AA56900454A4}">
      <text>
        <r>
          <rPr>
            <b/>
            <sz val="8"/>
            <color indexed="81"/>
            <rFont val="Tahoma"/>
            <family val="2"/>
          </rPr>
          <t>GAAdmin:</t>
        </r>
        <r>
          <rPr>
            <sz val="8"/>
            <color indexed="81"/>
            <rFont val="Tahoma"/>
            <family val="2"/>
          </rPr>
          <t xml:space="preserve">
This density is estimated and is based on the surface strata of the previous survey.</t>
        </r>
      </text>
    </comment>
    <comment ref="O26" authorId="0" shapeId="0" xr:uid="{F11245E2-CDBE-4E08-87FC-323372EEBA94}">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6" authorId="0" shapeId="0" xr:uid="{B2666B73-20E4-42AB-B699-CB9D19C0198B}">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6" authorId="0" shapeId="0" xr:uid="{66826AA2-2CB2-41C9-9BF7-B1F207BBD2BD}">
      <text>
        <r>
          <rPr>
            <sz val="8"/>
            <color indexed="81"/>
            <rFont val="Tahoma"/>
            <family val="2"/>
          </rPr>
          <t>Average density of the material above ss.</t>
        </r>
      </text>
    </comment>
    <comment ref="S26" authorId="3" shapeId="0" xr:uid="{976F3CED-EE08-40ED-A5FB-E25E5D9FAD56}">
      <text>
        <r>
          <rPr>
            <b/>
            <sz val="9"/>
            <color indexed="81"/>
            <rFont val="Tahoma"/>
            <family val="2"/>
          </rPr>
          <t xml:space="preserve">ehbaker:
</t>
        </r>
        <r>
          <rPr>
            <sz val="9"/>
            <color indexed="81"/>
            <rFont val="Tahoma"/>
            <family val="2"/>
          </rPr>
          <t>maximum fraction of snowpack captured by measured density.</t>
        </r>
      </text>
    </comment>
    <comment ref="T26" authorId="2" shapeId="0" xr:uid="{F1429970-C0DC-416A-8060-772DCAFB704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6" authorId="2" shapeId="0" xr:uid="{8AB7215F-4C86-4358-B603-20F1EF5A30C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6" authorId="2" shapeId="0" xr:uid="{82629117-F539-4803-B01F-55D4225B6899}">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6" authorId="2" shapeId="0" xr:uid="{EEECB36E-FCFD-4D03-B93E-68B349424A2E}">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6" authorId="2" shapeId="0" xr:uid="{A894D638-5F2F-45A0-A8EE-F57F8E8B57B9}">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N30" authorId="3" shapeId="0" xr:uid="{3F2710A0-6609-4B53-9E3C-E22A76DFCBC8}">
      <text>
        <r>
          <rPr>
            <b/>
            <sz val="9"/>
            <color indexed="81"/>
            <rFont val="Tahoma"/>
            <family val="2"/>
          </rPr>
          <t>ehbaker:</t>
        </r>
        <r>
          <rPr>
            <sz val="9"/>
            <color indexed="81"/>
            <rFont val="Tahoma"/>
            <family val="2"/>
          </rPr>
          <t xml:space="preserve">
winter ablation
</t>
        </r>
      </text>
    </comment>
    <comment ref="N31" authorId="3" shapeId="0" xr:uid="{0BA5BD59-F795-44BD-AE07-FB6C63D8762B}">
      <text>
        <r>
          <rPr>
            <b/>
            <sz val="9"/>
            <color indexed="81"/>
            <rFont val="Tahoma"/>
            <family val="2"/>
          </rPr>
          <t>ehbaker:</t>
        </r>
        <r>
          <rPr>
            <sz val="9"/>
            <color indexed="81"/>
            <rFont val="Tahoma"/>
            <family val="2"/>
          </rPr>
          <t xml:space="preserve">
lost 2.46 m of ice from probed real summer surface to fall observed summer surface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C984CB34-3797-48B2-8080-F6EE40DC2838}">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2000C424-6052-48AF-B4A8-C3C6F664A551}">
      <text>
        <r>
          <rPr>
            <sz val="8"/>
            <color indexed="81"/>
            <rFont val="Tahoma"/>
            <family val="2"/>
          </rPr>
          <t>This is the amount of snow that is above the summer surface.  The value should always be positive or zero.</t>
        </r>
      </text>
    </comment>
    <comment ref="A3" authorId="0" shapeId="0" xr:uid="{836F9589-C36D-4426-8930-37E24EEDEE1E}">
      <text>
        <r>
          <rPr>
            <b/>
            <sz val="8"/>
            <color indexed="81"/>
            <rFont val="Tahoma"/>
            <family val="2"/>
          </rPr>
          <t>GAAdmin:</t>
        </r>
        <r>
          <rPr>
            <sz val="8"/>
            <color indexed="81"/>
            <rFont val="Tahoma"/>
            <family val="2"/>
          </rPr>
          <t xml:space="preserve">
The stake with which the observations were made.</t>
        </r>
      </text>
    </comment>
    <comment ref="B3" authorId="0" shapeId="0" xr:uid="{49F0C289-5DD2-4C7D-95FD-6B68B408D305}">
      <text>
        <r>
          <rPr>
            <b/>
            <sz val="8"/>
            <color indexed="81"/>
            <rFont val="Tahoma"/>
            <family val="2"/>
          </rPr>
          <t>GAAdmin:</t>
        </r>
        <r>
          <rPr>
            <sz val="8"/>
            <color indexed="81"/>
            <rFont val="Tahoma"/>
            <family val="2"/>
          </rPr>
          <t xml:space="preserve">
Date of observations</t>
        </r>
      </text>
    </comment>
    <comment ref="C3" authorId="0" shapeId="0" xr:uid="{C0A4BB28-DED1-4BD4-A6C4-9AF2B93399D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B5526F2-8E62-46CE-B0B4-8E58A664F41B}">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701DA9F5-E484-406E-A589-1CB425173716}">
      <text>
        <r>
          <rPr>
            <sz val="8"/>
            <color indexed="81"/>
            <rFont val="Tahoma"/>
            <family val="2"/>
          </rPr>
          <t>Type of surface strata:
Glacier Ice, Snow, Superimposed Ice, Old Firn or New Firn.  For the Fall surveys this should be the surface strata beneath any fresh snow.</t>
        </r>
      </text>
    </comment>
    <comment ref="G3" authorId="0" shapeId="0" xr:uid="{39879FB2-3B2B-4304-B2FD-8AE5C70B2B59}">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CC9016E7-018C-4529-AA7B-96FB39B86B4C}">
      <text>
        <r>
          <rPr>
            <b/>
            <sz val="8"/>
            <color indexed="81"/>
            <rFont val="Tahoma"/>
            <family val="2"/>
          </rPr>
          <t>GAAdmin:</t>
        </r>
        <r>
          <rPr>
            <sz val="8"/>
            <color indexed="81"/>
            <rFont val="Tahoma"/>
            <family val="2"/>
          </rPr>
          <t xml:space="preserve">
Average depth of snow from probing
</t>
        </r>
      </text>
    </comment>
    <comment ref="I3" authorId="0" shapeId="0" xr:uid="{30BDA772-113C-44D5-9E9E-876E5BE0309B}">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922F406E-8868-4891-BAFE-66DEEC19D398}">
      <text>
        <r>
          <rPr>
            <b/>
            <sz val="8"/>
            <color indexed="81"/>
            <rFont val="Tahoma"/>
            <family val="2"/>
          </rPr>
          <t>GAAdmin:</t>
        </r>
        <r>
          <rPr>
            <sz val="8"/>
            <color indexed="81"/>
            <rFont val="Tahoma"/>
            <family val="2"/>
          </rPr>
          <t xml:space="preserve">
number of observations of snow depth</t>
        </r>
      </text>
    </comment>
    <comment ref="L3" authorId="0" shapeId="0" xr:uid="{5DBC7846-92E6-4963-AC2C-A74AAD4ED785}">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F21B61F5-180C-4CF2-A3DB-F813606E1729}">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20216CED-1391-4904-96E6-37BE594A3A57}">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92B42B7F-9BE3-4240-8411-2054F2DB063A}">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7963EA8E-6D49-4E62-AA7F-6D8DD097CF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966EC1C-5ABD-4717-867C-E88F50387B28}">
      <text>
        <r>
          <rPr>
            <sz val="8"/>
            <color indexed="81"/>
            <rFont val="Tahoma"/>
            <family val="2"/>
          </rPr>
          <t>Average density of the material above ss.</t>
        </r>
      </text>
    </comment>
    <comment ref="R3" authorId="0" shapeId="0" xr:uid="{BFF5B820-0331-4187-83BD-11155F06A1E6}">
      <text>
        <r>
          <rPr>
            <b/>
            <sz val="8"/>
            <color indexed="81"/>
            <rFont val="Tahoma"/>
            <family val="2"/>
          </rPr>
          <t>GAAdmin:</t>
        </r>
        <r>
          <rPr>
            <sz val="8"/>
            <color indexed="81"/>
            <rFont val="Tahoma"/>
            <family val="2"/>
          </rPr>
          <t xml:space="preserve">
Is the Density Estimated (E) or is it Measured (M) ?</t>
        </r>
      </text>
    </comment>
    <comment ref="S3" authorId="0" shapeId="0" xr:uid="{2366C99C-9A29-4F86-ABA4-D4D0693A108D}">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85139975-FBA7-460E-A3A7-D75DF4413393}">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FB23B04A-35E4-4677-B8FD-CAE69F386466}">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E0E04335-AFDC-4D26-BF42-C7430BFCEB80}">
      <text/>
    </comment>
    <comment ref="J5" authorId="1" shapeId="0" xr:uid="{91DC9BFB-8743-4EEE-82A9-D3A6C511E5B3}">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J6" authorId="1" shapeId="0" xr:uid="{94A9443C-264C-43F1-AE25-6FFD574C26C6}">
      <text>
        <r>
          <rPr>
            <b/>
            <sz val="9"/>
            <color indexed="81"/>
            <rFont val="Tahoma"/>
            <family val="2"/>
          </rPr>
          <t>Rob Burrows:</t>
        </r>
        <r>
          <rPr>
            <sz val="9"/>
            <color indexed="81"/>
            <rFont val="Tahoma"/>
            <family val="2"/>
          </rPr>
          <t xml:space="preserve">
These values show that snow probing penetrated into the new firn by up to 0.80 m.  Will use the previous fall's b'ss instead for any calcs.</t>
        </r>
      </text>
    </comment>
    <comment ref="J14" authorId="1" shapeId="0" xr:uid="{071992A1-A62D-4CED-91AD-8CCE703AA92D}">
      <text>
        <r>
          <rPr>
            <b/>
            <sz val="9"/>
            <color indexed="81"/>
            <rFont val="Tahoma"/>
            <family val="2"/>
          </rPr>
          <t>Rob Burrows:</t>
        </r>
        <r>
          <rPr>
            <sz val="9"/>
            <color indexed="81"/>
            <rFont val="Tahoma"/>
            <family val="2"/>
          </rPr>
          <t xml:space="preserve">
These values show that snow probing penetrated into the new firn by up to 1.12 m.  Will use the previous fall's b'ss instead for any calcs.</t>
        </r>
      </text>
    </comment>
    <comment ref="Q14" authorId="1" shapeId="0" xr:uid="{ACA1CBB6-9D37-4A5A-8927-7723086F5008}">
      <text>
        <r>
          <rPr>
            <b/>
            <sz val="9"/>
            <color indexed="81"/>
            <rFont val="Tahoma"/>
            <family val="2"/>
          </rPr>
          <t>Rob Burrows:</t>
        </r>
        <r>
          <rPr>
            <sz val="9"/>
            <color indexed="81"/>
            <rFont val="Tahoma"/>
            <family val="2"/>
          </rPr>
          <t xml:space="preserve">
Iso thermal and "wet" snow.</t>
        </r>
      </text>
    </comment>
    <comment ref="Q15" authorId="1" shapeId="0" xr:uid="{A8EED0F4-68B5-4912-BB6B-082E19E2EFFF}">
      <text>
        <r>
          <rPr>
            <b/>
            <sz val="9"/>
            <color indexed="81"/>
            <rFont val="Tahoma"/>
            <family val="2"/>
          </rPr>
          <t>Rob Burrows:</t>
        </r>
        <r>
          <rPr>
            <sz val="9"/>
            <color indexed="81"/>
            <rFont val="Tahoma"/>
            <family val="2"/>
          </rPr>
          <t xml:space="preserve">
Iso thermal and "wet" snow.</t>
        </r>
      </text>
    </comment>
    <comment ref="J16" authorId="1" shapeId="0" xr:uid="{F4B2A7B9-C9A0-456E-AF56-42F306396E32}">
      <text>
        <r>
          <rPr>
            <b/>
            <sz val="9"/>
            <color indexed="81"/>
            <rFont val="Tahoma"/>
            <family val="2"/>
          </rPr>
          <t>Rob Burrows:</t>
        </r>
        <r>
          <rPr>
            <sz val="9"/>
            <color indexed="81"/>
            <rFont val="Tahoma"/>
            <family val="2"/>
          </rPr>
          <t xml:space="preserve">
This is likely ice loss that occurred after the fall 2014 visit.</t>
        </r>
      </text>
    </comment>
    <comment ref="Q16" authorId="1" shapeId="0" xr:uid="{13E6C27F-A5B9-40A8-8391-03164EC4D7F0}">
      <text>
        <r>
          <rPr>
            <b/>
            <sz val="9"/>
            <color indexed="81"/>
            <rFont val="Tahoma"/>
            <family val="2"/>
          </rPr>
          <t>Rob Burrows:</t>
        </r>
        <r>
          <rPr>
            <sz val="9"/>
            <color indexed="81"/>
            <rFont val="Tahoma"/>
            <family val="2"/>
          </rPr>
          <t xml:space="preserve">
Highly water saturated snow, particularly at the base of the snowpack.</t>
        </r>
      </text>
    </comment>
    <comment ref="J17" authorId="1" shapeId="0" xr:uid="{ECA345ED-B95C-4BE5-8380-63FD7270A41D}">
      <text>
        <r>
          <rPr>
            <b/>
            <sz val="9"/>
            <color indexed="81"/>
            <rFont val="Tahoma"/>
            <family val="2"/>
          </rPr>
          <t>Rob Burrows:</t>
        </r>
        <r>
          <rPr>
            <sz val="9"/>
            <color indexed="81"/>
            <rFont val="Tahoma"/>
            <family val="2"/>
          </rPr>
          <t xml:space="preserve">
This is likely ice loss that occurred after the fall 2014 visit.</t>
        </r>
      </text>
    </comment>
    <comment ref="Q17" authorId="1" shapeId="0" xr:uid="{CBA43951-F0B3-4A19-9573-787146CA329A}">
      <text>
        <r>
          <rPr>
            <b/>
            <sz val="9"/>
            <color indexed="81"/>
            <rFont val="Tahoma"/>
            <family val="2"/>
          </rPr>
          <t>Rob Burrows:</t>
        </r>
        <r>
          <rPr>
            <sz val="9"/>
            <color indexed="81"/>
            <rFont val="Tahoma"/>
            <family val="2"/>
          </rPr>
          <t xml:space="preserve">
Highly water saturated snow, particularly at the base of the snowpack.</t>
        </r>
      </text>
    </comment>
    <comment ref="M18" authorId="1" shapeId="0" xr:uid="{4416BC08-ECFC-49C6-ABE4-CA12F232C997}">
      <text>
        <r>
          <rPr>
            <b/>
            <sz val="9"/>
            <color indexed="81"/>
            <rFont val="Tahoma"/>
            <family val="2"/>
          </rPr>
          <t>Rob Burrows:</t>
        </r>
        <r>
          <rPr>
            <sz val="9"/>
            <color indexed="81"/>
            <rFont val="Tahoma"/>
            <family val="2"/>
          </rPr>
          <t xml:space="preserve">
estimated based on measurements at stake 17-B</t>
        </r>
      </text>
    </comment>
    <comment ref="M19" authorId="1" shapeId="0" xr:uid="{A639266D-2F49-413A-B1C1-BE95D71645EC}">
      <text>
        <r>
          <rPr>
            <b/>
            <sz val="9"/>
            <color indexed="81"/>
            <rFont val="Tahoma"/>
            <family val="2"/>
          </rPr>
          <t>Rob Burrows:</t>
        </r>
        <r>
          <rPr>
            <sz val="9"/>
            <color indexed="81"/>
            <rFont val="Tahoma"/>
            <family val="2"/>
          </rPr>
          <t xml:space="preserve">
Measured density of 1.2 m of remaining firn
</t>
        </r>
      </text>
    </comment>
    <comment ref="A26" authorId="0" shapeId="0" xr:uid="{CB223D51-46A6-4499-A07F-9049318FF9AB}">
      <text>
        <r>
          <rPr>
            <b/>
            <sz val="8"/>
            <color indexed="81"/>
            <rFont val="Tahoma"/>
            <family val="2"/>
          </rPr>
          <t>GAAdmin:</t>
        </r>
        <r>
          <rPr>
            <sz val="8"/>
            <color indexed="81"/>
            <rFont val="Tahoma"/>
            <family val="2"/>
          </rPr>
          <t xml:space="preserve">
The stake with which the observations were made.</t>
        </r>
      </text>
    </comment>
    <comment ref="B26" authorId="0" shapeId="0" xr:uid="{6457A2AC-EE06-4657-9E17-A17E0F4F7AE4}">
      <text>
        <r>
          <rPr>
            <b/>
            <sz val="8"/>
            <color indexed="81"/>
            <rFont val="Tahoma"/>
            <family val="2"/>
          </rPr>
          <t>GAAdmin:</t>
        </r>
        <r>
          <rPr>
            <sz val="8"/>
            <color indexed="81"/>
            <rFont val="Tahoma"/>
            <family val="2"/>
          </rPr>
          <t xml:space="preserve">
Date of observations</t>
        </r>
      </text>
    </comment>
    <comment ref="C26" authorId="2" shapeId="0" xr:uid="{C3DBDB19-8FD3-45EC-A6B9-886428139133}">
      <text>
        <r>
          <rPr>
            <b/>
            <sz val="9"/>
            <color indexed="81"/>
            <rFont val="Tahoma"/>
            <family val="2"/>
          </rPr>
          <t>cmcneil:</t>
        </r>
        <r>
          <rPr>
            <sz val="9"/>
            <color indexed="81"/>
            <rFont val="Tahoma"/>
            <family val="2"/>
          </rPr>
          <t xml:space="preserve">
Total length of stake</t>
        </r>
      </text>
    </comment>
    <comment ref="D26" authorId="2" shapeId="0" xr:uid="{CB6EB60A-C174-4DF8-AF2E-DEF8B11483C4}">
      <text>
        <r>
          <rPr>
            <b/>
            <sz val="9"/>
            <color indexed="81"/>
            <rFont val="Tahoma"/>
            <family val="2"/>
          </rPr>
          <t>cmcneil:</t>
        </r>
        <r>
          <rPr>
            <sz val="9"/>
            <color indexed="81"/>
            <rFont val="Tahoma"/>
            <family val="2"/>
          </rPr>
          <t xml:space="preserve">
Length of stake above the surface noted in column D</t>
        </r>
      </text>
    </comment>
    <comment ref="E26" authorId="2" shapeId="0" xr:uid="{CFEE8EFB-5DB5-42E1-8E9C-2F1A66B349FE}">
      <text>
        <r>
          <rPr>
            <b/>
            <sz val="9"/>
            <color indexed="81"/>
            <rFont val="Tahoma"/>
            <family val="2"/>
          </rPr>
          <t>cmcneil:</t>
        </r>
        <r>
          <rPr>
            <sz val="9"/>
            <color indexed="81"/>
            <rFont val="Tahoma"/>
            <family val="2"/>
          </rPr>
          <t xml:space="preserve">
Length of stake still below the surface noted in column D</t>
        </r>
      </text>
    </comment>
    <comment ref="F26" authorId="0" shapeId="0" xr:uid="{1ACD1022-E99A-4BC4-B0B3-5E52B88E0269}">
      <text>
        <r>
          <rPr>
            <sz val="8"/>
            <color indexed="81"/>
            <rFont val="Tahoma"/>
            <family val="2"/>
          </rPr>
          <t>Type of surface strata:
Glacier Ice, Snow, Superimposed Ice, Old Firn or New Firn.  For the Fall surveys this should be the surface strata beneath any fresh snow.</t>
        </r>
      </text>
    </comment>
    <comment ref="G26" authorId="0" shapeId="0" xr:uid="{02F4D930-0AD0-4E07-9452-2D7AC11636CF}">
      <text>
        <r>
          <rPr>
            <b/>
            <sz val="8"/>
            <color indexed="81"/>
            <rFont val="Tahoma"/>
            <family val="2"/>
          </rPr>
          <t>GAAdmin:</t>
        </r>
        <r>
          <rPr>
            <sz val="8"/>
            <color indexed="81"/>
            <rFont val="Tahoma"/>
            <family val="2"/>
          </rPr>
          <t xml:space="preserve">
Average depth of snow as determined in snow pit.</t>
        </r>
      </text>
    </comment>
    <comment ref="H26" authorId="0" shapeId="0" xr:uid="{9E3B047B-5CD2-4A28-972F-D3599A0B3DC9}">
      <text>
        <r>
          <rPr>
            <b/>
            <sz val="8"/>
            <color indexed="81"/>
            <rFont val="Tahoma"/>
            <family val="2"/>
          </rPr>
          <t>GAAdmin:</t>
        </r>
        <r>
          <rPr>
            <sz val="8"/>
            <color indexed="81"/>
            <rFont val="Tahoma"/>
            <family val="2"/>
          </rPr>
          <t xml:space="preserve">
Average depth of snow from probing
</t>
        </r>
      </text>
    </comment>
    <comment ref="I26" authorId="0" shapeId="0" xr:uid="{FFF08D66-9850-4045-9372-5D260D6836D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6" authorId="0" shapeId="0" xr:uid="{4B89CB9B-2AA0-4ED6-BCF4-AA4F95FEE342}">
      <text>
        <r>
          <rPr>
            <b/>
            <sz val="8"/>
            <color indexed="81"/>
            <rFont val="Tahoma"/>
            <family val="2"/>
          </rPr>
          <t>GAAdmin:</t>
        </r>
        <r>
          <rPr>
            <sz val="8"/>
            <color indexed="81"/>
            <rFont val="Tahoma"/>
            <family val="2"/>
          </rPr>
          <t xml:space="preserve">
Standard Error</t>
        </r>
      </text>
    </comment>
    <comment ref="K26" authorId="0" shapeId="0" xr:uid="{9D71D1B9-F109-49B9-BAA0-B0087D5CF69E}">
      <text>
        <r>
          <rPr>
            <b/>
            <sz val="8"/>
            <color indexed="81"/>
            <rFont val="Tahoma"/>
            <family val="2"/>
          </rPr>
          <t>GAAdmin:</t>
        </r>
        <r>
          <rPr>
            <sz val="8"/>
            <color indexed="81"/>
            <rFont val="Tahoma"/>
            <family val="2"/>
          </rPr>
          <t xml:space="preserve">
number of observations of snow depth</t>
        </r>
      </text>
    </comment>
    <comment ref="M26" authorId="0" shapeId="0" xr:uid="{F237DC97-A0C7-4F93-9B1A-E9393F6373C3}">
      <text>
        <r>
          <rPr>
            <b/>
            <sz val="8"/>
            <color indexed="81"/>
            <rFont val="Tahoma"/>
            <family val="2"/>
          </rPr>
          <t>GAAdmin:</t>
        </r>
        <r>
          <rPr>
            <sz val="8"/>
            <color indexed="81"/>
            <rFont val="Tahoma"/>
            <family val="2"/>
          </rPr>
          <t xml:space="preserve">
This density is estimated and is based on the surface strata of the previous survey.</t>
        </r>
      </text>
    </comment>
    <comment ref="O26" authorId="0" shapeId="0" xr:uid="{5C9DDA4D-19A1-4FE0-9A12-DB2685B327F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6" authorId="0" shapeId="0" xr:uid="{FB42CE76-87F5-4121-AA3B-D009FA056051}">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6" authorId="0" shapeId="0" xr:uid="{D3580826-889C-4D83-B724-29D3B856FF66}">
      <text>
        <r>
          <rPr>
            <sz val="8"/>
            <color indexed="81"/>
            <rFont val="Tahoma"/>
            <family val="2"/>
          </rPr>
          <t>Average density of the material above ss.</t>
        </r>
      </text>
    </comment>
    <comment ref="S26" authorId="3" shapeId="0" xr:uid="{15DC2538-2983-4F09-B799-98AA53247C40}">
      <text>
        <r>
          <rPr>
            <b/>
            <sz val="9"/>
            <color indexed="81"/>
            <rFont val="Tahoma"/>
            <family val="2"/>
          </rPr>
          <t xml:space="preserve">ehbaker:
</t>
        </r>
        <r>
          <rPr>
            <sz val="9"/>
            <color indexed="81"/>
            <rFont val="Tahoma"/>
            <family val="2"/>
          </rPr>
          <t>maximum fraction of snowpack captured by measured density.</t>
        </r>
      </text>
    </comment>
    <comment ref="T26" authorId="2" shapeId="0" xr:uid="{467F6E5D-2481-49D3-A800-CF890C266C07}">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6" authorId="2" shapeId="0" xr:uid="{8F558E3C-F7B8-46CC-A73E-229F929F251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6" authorId="2" shapeId="0" xr:uid="{6FCE475D-6298-4D89-AC5E-5422AADAEFC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6" authorId="2" shapeId="0" xr:uid="{E4DA8E55-878D-47E5-89B5-07C16661D746}">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6" authorId="2" shapeId="0" xr:uid="{07DE1539-DC1F-4A63-BB34-46C843F4BFD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32" authorId="3" shapeId="0" xr:uid="{B429D5C1-1321-4691-BFF6-7675B0AC165C}">
      <text>
        <r>
          <rPr>
            <b/>
            <sz val="9"/>
            <color indexed="81"/>
            <rFont val="Tahoma"/>
            <family val="2"/>
          </rPr>
          <t>ehbaker:</t>
        </r>
        <r>
          <rPr>
            <sz val="9"/>
            <color indexed="81"/>
            <rFont val="Tahoma"/>
            <family val="2"/>
          </rPr>
          <t xml:space="preserve">
assumed density for new snow in fall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48979A6C-28AB-41E3-8DD9-AD46F85C4BE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9ABCE9C5-ED7D-4002-A1C8-EF023AEECCC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CBE86E8-64D0-40C0-A893-50D336ECCDA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84A3D42-7513-4D84-9024-24579ED7DEB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9EB9AF7E-2B35-4974-BDC0-BB7CD5CB5182}">
      <text>
        <r>
          <rPr>
            <sz val="8"/>
            <color indexed="81"/>
            <rFont val="Tahoma"/>
            <family val="2"/>
          </rPr>
          <t xml:space="preserve">Sipre coring auger=45.6cm2 
large tube 41.05 cm2       
small tube 25.6   cm2          
Snow Metrics 1000 cm^3
</t>
        </r>
      </text>
    </comment>
    <comment ref="A10" authorId="2" shapeId="0" xr:uid="{03927364-3706-4786-A497-2C0578D090C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AD2391FA-4661-409F-B16B-5B4AF462E12A}">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A5FA775E-44AE-44ED-9CAB-5C3BE6C1F341}">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CA7F4D6E-9D43-4998-97BC-C800EFEF7A11}">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8F6BED7B-E9E2-444D-B839-3049CC73C257}">
      <text>
        <r>
          <rPr>
            <b/>
            <sz val="9"/>
            <color indexed="81"/>
            <rFont val="Tahoma"/>
            <family val="2"/>
          </rPr>
          <t>cmcneil:</t>
        </r>
        <r>
          <rPr>
            <sz val="9"/>
            <color indexed="81"/>
            <rFont val="Tahoma"/>
            <family val="2"/>
          </rPr>
          <t xml:space="preserve">
What was used to measure snow depth</t>
        </r>
      </text>
    </comment>
    <comment ref="I10" authorId="0" shapeId="0" xr:uid="{E8DE59DB-C250-4FF2-A60C-0F1D057C0F12}">
      <text>
        <r>
          <rPr>
            <b/>
            <sz val="9"/>
            <color indexed="81"/>
            <rFont val="Tahoma"/>
            <family val="2"/>
          </rPr>
          <t>cmcneil:</t>
        </r>
        <r>
          <rPr>
            <sz val="9"/>
            <color indexed="81"/>
            <rFont val="Tahoma"/>
            <family val="2"/>
          </rPr>
          <t xml:space="preserve">
snow depth observed</t>
        </r>
      </text>
    </comment>
    <comment ref="O10" authorId="2" shapeId="0" xr:uid="{9541D1D9-8572-4B41-9710-61AA80F3C74D}">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1E2E1C13-97DF-4865-B97C-22A318D6C11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DB3390B-8DE3-414B-901B-66B38AF86D7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64B2A6F-CA63-4132-BBC5-5E3CCAF9751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65D59C78-10E6-4BF7-8F62-4297143E2E11}">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C94E762-F271-43D2-91AE-90058FAFFA6D}">
      <text>
        <r>
          <rPr>
            <sz val="8"/>
            <color indexed="81"/>
            <rFont val="Tahoma"/>
            <family val="2"/>
          </rPr>
          <t xml:space="preserve">Sipre coring auger=45.6cm2 
large tube 41.05 cm2       
small tube 25.6   cm2          
Snow Metrics 1000 cm^3
</t>
        </r>
      </text>
    </comment>
    <comment ref="A10" authorId="2" shapeId="0" xr:uid="{DF7107EE-EE97-41A9-9030-2A76CED13E81}">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A7911311-E8CC-4004-A639-63C6E8FE7A00}">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9B0DB501-455D-4EED-9F29-0BCDEA8B1BA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87FA0B79-1C08-4E18-ABCF-CC1A639F274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FBF87E67-DFC1-44E1-941F-375FE040C6A7}">
      <text>
        <r>
          <rPr>
            <b/>
            <sz val="9"/>
            <color indexed="81"/>
            <rFont val="Tahoma"/>
            <family val="2"/>
          </rPr>
          <t>cmcneil:</t>
        </r>
        <r>
          <rPr>
            <sz val="9"/>
            <color indexed="81"/>
            <rFont val="Tahoma"/>
            <family val="2"/>
          </rPr>
          <t xml:space="preserve">
What was used to measure snow depth</t>
        </r>
      </text>
    </comment>
    <comment ref="I10" authorId="0" shapeId="0" xr:uid="{123BE912-57C8-4EEB-A19B-2B8247AAEBAF}">
      <text>
        <r>
          <rPr>
            <b/>
            <sz val="9"/>
            <color indexed="81"/>
            <rFont val="Tahoma"/>
            <family val="2"/>
          </rPr>
          <t>cmcneil:</t>
        </r>
        <r>
          <rPr>
            <sz val="9"/>
            <color indexed="81"/>
            <rFont val="Tahoma"/>
            <family val="2"/>
          </rPr>
          <t xml:space="preserve">
snow depth observed</t>
        </r>
      </text>
    </comment>
    <comment ref="O10" authorId="2" shapeId="0" xr:uid="{BDC340CA-C208-4DE9-9206-0B374F3A0CC7}">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D172C64E-66F3-4874-A59B-3FB564E8C18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4A4EADB8-F178-4458-929C-63D6700221B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CFDE4D1-BCE0-468D-AA3D-F9BB96D285D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D041F7C4-35DE-47E4-8533-8A6A2B80476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C417D815-7F7D-43ED-861E-07EDCFA54425}">
      <text>
        <r>
          <rPr>
            <sz val="8"/>
            <color indexed="81"/>
            <rFont val="Tahoma"/>
            <family val="2"/>
          </rPr>
          <t xml:space="preserve">Sipre coring auger=45.6cm2 
large tube 41.05 cm2       
small tube 25.6   cm2          
Snow Metrics 1000 cm^3
</t>
        </r>
      </text>
    </comment>
    <comment ref="A10" authorId="2" shapeId="0" xr:uid="{8483DB3B-2C10-4D4E-8C3E-DAF2CE9C69C1}">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C19307D4-7CBA-4861-AD0D-5BAEF7C505D0}">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A13C559-CFA3-4F6A-8E73-4EFE0E254959}">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488A94DC-8FCD-4152-A40D-2B52BFDB47F8}">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02BD7982-51D3-469D-A83F-E539A47CC9F5}">
      <text>
        <r>
          <rPr>
            <b/>
            <sz val="9"/>
            <color indexed="81"/>
            <rFont val="Tahoma"/>
            <family val="2"/>
          </rPr>
          <t>cmcneil:</t>
        </r>
        <r>
          <rPr>
            <sz val="9"/>
            <color indexed="81"/>
            <rFont val="Tahoma"/>
            <family val="2"/>
          </rPr>
          <t xml:space="preserve">
What was used to measure snow depth</t>
        </r>
      </text>
    </comment>
    <comment ref="I10" authorId="0" shapeId="0" xr:uid="{1449CA62-0E58-44AF-892D-B2484D5AA51C}">
      <text>
        <r>
          <rPr>
            <b/>
            <sz val="9"/>
            <color indexed="81"/>
            <rFont val="Tahoma"/>
            <family val="2"/>
          </rPr>
          <t>cmcneil:</t>
        </r>
        <r>
          <rPr>
            <sz val="9"/>
            <color indexed="81"/>
            <rFont val="Tahoma"/>
            <family val="2"/>
          </rPr>
          <t xml:space="preserve">
snow depth observed</t>
        </r>
      </text>
    </comment>
    <comment ref="O10" authorId="2" shapeId="0" xr:uid="{9C72FB8B-0681-4C15-8201-DB4E32CD5245}">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<sst xmlns="http://schemas.openxmlformats.org/spreadsheetml/2006/main" count="1573" uniqueCount="201">
  <si>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</si>
  <si>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</si>
  <si>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</si>
  <si>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</si>
  <si>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</si>
  <si>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</si>
  <si>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</si>
  <si>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</si>
  <si>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</si>
  <si>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</si>
  <si>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</si>
  <si>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</si>
  <si>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</si>
  <si>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Pit/Stake</t>
  </si>
  <si>
    <t>Probe</t>
  </si>
  <si>
    <t>Average</t>
  </si>
  <si>
    <t>n</t>
  </si>
  <si>
    <t>Obsvd.</t>
  </si>
  <si>
    <t>Density</t>
  </si>
  <si>
    <t>Ice</t>
  </si>
  <si>
    <t>Depth</t>
  </si>
  <si>
    <t xml:space="preserve"> Density</t>
  </si>
  <si>
    <r>
      <t>E</t>
    </r>
    <r>
      <rPr>
        <sz val="8"/>
        <color indexed="8"/>
        <rFont val="Century Schoolbook"/>
        <family val="1"/>
      </rPr>
      <t>stimated</t>
    </r>
  </si>
  <si>
    <t xml:space="preserve">"Snow" </t>
  </si>
  <si>
    <t>Balance</t>
  </si>
  <si>
    <t>Name</t>
  </si>
  <si>
    <t>b'</t>
  </si>
  <si>
    <t>b*</t>
  </si>
  <si>
    <t>b**</t>
  </si>
  <si>
    <t>d</t>
  </si>
  <si>
    <t>b'ss</t>
  </si>
  <si>
    <t>r</t>
  </si>
  <si>
    <t>b'(i)</t>
  </si>
  <si>
    <r>
      <t>b</t>
    </r>
    <r>
      <rPr>
        <b/>
        <i/>
        <vertAlign val="subscript"/>
        <sz val="8"/>
        <color indexed="8"/>
        <rFont val="Century Schoolbook"/>
        <family val="1"/>
      </rPr>
      <t>a</t>
    </r>
    <r>
      <rPr>
        <b/>
        <i/>
        <sz val="8"/>
        <color indexed="8"/>
        <rFont val="Century Schoolbook"/>
        <family val="1"/>
      </rPr>
      <t>(i)</t>
    </r>
  </si>
  <si>
    <t>or</t>
  </si>
  <si>
    <r>
      <t>b</t>
    </r>
    <r>
      <rPr>
        <b/>
        <i/>
        <vertAlign val="subscript"/>
        <sz val="8"/>
        <color indexed="8"/>
        <rFont val="Century Schoolbook"/>
        <family val="1"/>
      </rPr>
      <t>n</t>
    </r>
    <r>
      <rPr>
        <b/>
        <i/>
        <sz val="8"/>
        <color indexed="8"/>
        <rFont val="Century Schoolbook"/>
        <family val="1"/>
      </rPr>
      <t>(f)</t>
    </r>
  </si>
  <si>
    <t>bw &amp; bs</t>
  </si>
  <si>
    <t>ba</t>
  </si>
  <si>
    <t>m/d/y</t>
  </si>
  <si>
    <t>m</t>
  </si>
  <si>
    <t xml:space="preserve"> m</t>
  </si>
  <si>
    <t>Ssurf probe compare</t>
  </si>
  <si>
    <t>kg/L</t>
  </si>
  <si>
    <t>m(w)</t>
  </si>
  <si>
    <r>
      <t>M</t>
    </r>
    <r>
      <rPr>
        <sz val="8"/>
        <color indexed="8"/>
        <rFont val="Century Schoolbook"/>
        <family val="1"/>
      </rPr>
      <t>easured</t>
    </r>
  </si>
  <si>
    <t>Estimated</t>
  </si>
  <si>
    <t>Measured</t>
  </si>
  <si>
    <t>K29B-8/14-12M</t>
  </si>
  <si>
    <t>-</t>
  </si>
  <si>
    <t>K29C-8/14-12M</t>
  </si>
  <si>
    <t>K53-8/14-7.5M</t>
  </si>
  <si>
    <t>13-K17-B30ft</t>
  </si>
  <si>
    <t>Snow</t>
  </si>
  <si>
    <t>13-K17-C30ft</t>
  </si>
  <si>
    <t>13-K17-A36ft</t>
  </si>
  <si>
    <t>OFirn</t>
  </si>
  <si>
    <t>na</t>
  </si>
  <si>
    <t>13-K17-B36ft</t>
  </si>
  <si>
    <t>13-K17-C36ft</t>
  </si>
  <si>
    <t>Nfirn</t>
  </si>
  <si>
    <t>07-K17-9M</t>
  </si>
  <si>
    <t>NFirn</t>
  </si>
  <si>
    <t>10-K17-6M</t>
  </si>
  <si>
    <t>13-K17-A30ft</t>
  </si>
  <si>
    <t>new calculation</t>
  </si>
  <si>
    <t>Ablation</t>
  </si>
  <si>
    <t>Accumulation</t>
  </si>
  <si>
    <t>Balances</t>
  </si>
  <si>
    <t>Total</t>
  </si>
  <si>
    <t>Above Surface</t>
  </si>
  <si>
    <t>Below Surface</t>
  </si>
  <si>
    <t>At Stake</t>
  </si>
  <si>
    <t>Previous summer surface</t>
  </si>
  <si>
    <t>Stake Length Change</t>
  </si>
  <si>
    <t>Estimated or Measured</t>
  </si>
  <si>
    <t>Density Coverage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</si>
  <si>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</si>
  <si>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</si>
  <si>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</si>
  <si>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</si>
  <si>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</si>
  <si>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</si>
  <si>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</si>
  <si>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</si>
  <si>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fraction</t>
  </si>
  <si>
    <t>m w.e.</t>
  </si>
  <si>
    <t>13-K17B</t>
  </si>
  <si>
    <t>New Firn</t>
  </si>
  <si>
    <t>present, not measured</t>
  </si>
  <si>
    <t>"some new snow"; depth not measured</t>
  </si>
  <si>
    <t>snow</t>
  </si>
  <si>
    <t xml:space="preserve"> Glacier:</t>
  </si>
  <si>
    <t>Kahiltna</t>
  </si>
  <si>
    <t>Total Core Depth(m):</t>
  </si>
  <si>
    <t>* for the federal sampler, this is simply the depth of the deepest density measurement</t>
  </si>
  <si>
    <t>Location:</t>
  </si>
  <si>
    <t>K17B</t>
  </si>
  <si>
    <t>Depth of Previous Year's Summer Surface (m):</t>
  </si>
  <si>
    <t xml:space="preserve"> </t>
  </si>
  <si>
    <t xml:space="preserve">    Date:</t>
  </si>
  <si>
    <t>Average Snow Depth (m):</t>
  </si>
  <si>
    <t xml:space="preserve">  Notebook:</t>
  </si>
  <si>
    <t>2014_06_07_K17B_Field_Datasheet.pdf</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</si>
  <si>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</si>
  <si>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</si>
  <si>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</si>
  <si>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</si>
  <si>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</si>
  <si>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</si>
  <si>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</si>
  <si>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</si>
  <si>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</si>
  <si>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</si>
  <si>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</si>
  <si>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</si>
  <si>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</si>
  <si>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</si>
  <si>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</si>
  <si>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in</t>
  </si>
  <si>
    <t>in w.e.</t>
  </si>
  <si>
    <t>(cm)</t>
  </si>
  <si>
    <t>AK local time</t>
  </si>
  <si>
    <t>sone confusion in using sampler in field notes</t>
  </si>
  <si>
    <t>Off</t>
  </si>
  <si>
    <t>12:00pm</t>
  </si>
  <si>
    <t>NA</t>
  </si>
  <si>
    <t>probe to east</t>
  </si>
  <si>
    <t>probe to west</t>
  </si>
  <si>
    <t>old firn</t>
  </si>
  <si>
    <t>2015_09_23_K17B_Field_Datasheet.pdf</t>
  </si>
  <si>
    <t>at stake (new firn)</t>
  </si>
  <si>
    <t>Snowmetrics Wedge</t>
  </si>
  <si>
    <t>Field Data</t>
  </si>
  <si>
    <t>Analysis</t>
  </si>
  <si>
    <t>Layer Values</t>
  </si>
  <si>
    <t>Cumulative  Values</t>
  </si>
  <si>
    <t>Additional snow depth measurements</t>
  </si>
  <si>
    <t>Layer Boundary</t>
  </si>
  <si>
    <t>C+S</t>
  </si>
  <si>
    <t>C</t>
  </si>
  <si>
    <t>SBD</t>
  </si>
  <si>
    <t>Volume</t>
  </si>
  <si>
    <t>Top</t>
  </si>
  <si>
    <t>Bottom</t>
  </si>
  <si>
    <t>SWE</t>
  </si>
  <si>
    <t xml:space="preserve"> Comments</t>
  </si>
  <si>
    <t>Type of meaasurement</t>
  </si>
  <si>
    <t>gm</t>
  </si>
  <si>
    <t>cm</t>
  </si>
  <si>
    <r>
      <t>cm</t>
    </r>
    <r>
      <rPr>
        <vertAlign val="superscript"/>
        <sz val="8"/>
        <rFont val="Arial"/>
        <family val="2"/>
      </rPr>
      <t>3</t>
    </r>
  </si>
  <si>
    <r>
      <t>gm/cm</t>
    </r>
    <r>
      <rPr>
        <vertAlign val="superscript"/>
        <sz val="8"/>
        <rFont val="Arial"/>
        <family val="2"/>
      </rPr>
      <t>3</t>
    </r>
  </si>
  <si>
    <t>Total Density Depth (m):</t>
  </si>
  <si>
    <t>none</t>
  </si>
  <si>
    <t>base new snow</t>
  </si>
  <si>
    <t>new snow</t>
  </si>
  <si>
    <t>firn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</si>
  <si>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</si>
  <si>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</si>
  <si>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</si>
  <si>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</si>
  <si>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</si>
  <si>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</si>
  <si>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</si>
  <si>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</si>
  <si>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</si>
  <si>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</si>
  <si>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</si>
  <si>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</si>
  <si>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</si>
  <si>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</si>
  <si>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 xml:space="preserve">probe at stake </t>
  </si>
  <si>
    <t>13-K17A</t>
  </si>
  <si>
    <t>New firn</t>
  </si>
  <si>
    <t>new firn</t>
  </si>
  <si>
    <t>not measured</t>
  </si>
  <si>
    <t>spring 2015</t>
  </si>
  <si>
    <t>13-K17C</t>
  </si>
  <si>
    <t>no notes from fall 2014 visit; hard to say if any snow on new firn</t>
  </si>
  <si>
    <t>Date:</t>
  </si>
  <si>
    <t>Snowdepth (m)</t>
  </si>
  <si>
    <t>VERY sparse field notes</t>
  </si>
  <si>
    <t>2.8 (but likely bad; not used)</t>
  </si>
  <si>
    <t>isothermal wet snow; using density measured at K17B</t>
  </si>
  <si>
    <t>K29C</t>
  </si>
  <si>
    <t>14-K29C</t>
  </si>
  <si>
    <t>ice</t>
  </si>
  <si>
    <t>Sparse field notes</t>
  </si>
  <si>
    <t>2015_06_16_K29C_Field_Datasheet.pdf</t>
  </si>
  <si>
    <t>at snow surface</t>
  </si>
  <si>
    <t xml:space="preserve">0.65 m above snow surface </t>
  </si>
  <si>
    <t>sone confusion in using sampler in field notes. Noted the tare as 44 in one, and 1 in other sample</t>
  </si>
  <si>
    <t>saturated at bottom</t>
  </si>
  <si>
    <t>14-K53</t>
  </si>
  <si>
    <t>K53</t>
  </si>
  <si>
    <t xml:space="preserve">0.5 m above </t>
  </si>
  <si>
    <t>0.96 m above</t>
  </si>
  <si>
    <t>water dripping out of corer, saturated</t>
  </si>
  <si>
    <t>2015_09_23_K53_Field_Datasheet.pdf</t>
  </si>
  <si>
    <t>no field notes; not sure if any new snow on fall trip. Stake not found on spring 2015 visit.</t>
  </si>
  <si>
    <t>Average of balances at Stakes A, B, C</t>
  </si>
  <si>
    <t>Balances for K17 are just an average of sites A, B, and C. For Bw, stakes B and C are used.  Winter ablation and summer accumulation info not availabe at all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</si>
</sst>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numFmt numFmtId="165" formatCode="0.000"/>
    <numFmt numFmtId="166" formatCode="??0"/>
    <numFmt numFmtId="167" formatCode="0.0"/>
    <numFmt numFmtId="168" formatCode="??0.0"/>
    <numFmt numFmtId="169" formatCode="mm/dd/yyyy"/>
  </numFmts>
  <fonts count="51" x14ac:knownFonts="1">
    <font>
      <sz val="11"/>
      <color theme="1"/>
      <name val="Calibri"/>
      <family val="2"/>
      <scheme val="minor"/>
    </font>
    <font>
      <sz val="11"/>
      <color theme="1"/>
      <name val="Calibri"/>
      <family val="2"/>
      <scheme val="minor"/>
    </font>
    <font>
      <sz val="11"/>
      <color rgb="FF9C0006"/>
      <name val="Calibri"/>
      <family val="2"/>
      <scheme val="minor"/>
    </font>
    <font>
      <sz val="11"/>
      <color rgb="FFFF0000"/>
      <name val="Calibri"/>
      <family val="2"/>
      <scheme val="minor"/>
    </font>
    <font>
      <sz val="8"/>
      <name val="Arial"/>
      <family val="2"/>
    </font>
    <font>
      <b/>
      <sz val="12"/>
      <name val="Arial"/>
      <family val="2"/>
    </font>
    <font>
      <sz val="8"/>
      <color indexed="8"/>
      <name val="Century Schoolbook"/>
      <family val="1"/>
    </font>
    <font>
      <sz val="8"/>
      <name val="Century Schoolbook"/>
      <family val="1"/>
    </font>
    <font>
      <i/>
      <sz val="8"/>
      <color indexed="8"/>
      <name val="Century Schoolbook"/>
      <family val="1"/>
    </font>
    <font>
      <b/>
      <u/>
      <sz val="8"/>
      <color indexed="8"/>
      <name val="Century Schoolbook"/>
      <family val="1"/>
    </font>
    <font>
      <b/>
      <i/>
      <sz val="8"/>
      <color indexed="8"/>
      <name val="Century Schoolbook"/>
      <family val="1"/>
    </font>
    <font>
      <b/>
      <i/>
      <sz val="8"/>
      <color indexed="8"/>
      <name val="Symbol"/>
      <family val="1"/>
      <charset val="2"/>
    </font>
    <font>
      <b/>
      <i/>
      <vertAlign val="subscript"/>
      <sz val="8"/>
      <color indexed="8"/>
      <name val="Century Schoolbook"/>
      <family val="1"/>
    </font>
    <font>
      <b/>
      <i/>
      <sz val="8"/>
      <color indexed="9"/>
      <name val="Century Schoolbook"/>
      <family val="1"/>
    </font>
    <font>
      <b/>
      <sz val="8"/>
      <name val="Arial"/>
      <family val="2"/>
    </font>
    <font>
      <sz val="8"/>
      <color indexed="9"/>
      <name val="Century Schoolbook"/>
      <family val="1"/>
    </font>
    <font>
      <b/>
      <sz val="8"/>
      <color indexed="81"/>
      <name val="Tahoma"/>
      <family val="2"/>
    </font>
    <font>
      <sz val="8"/>
      <color indexed="81"/>
      <name val="Tahoma"/>
      <family val="2"/>
    </font>
    <font>
      <b/>
      <sz val="9"/>
      <color indexed="81"/>
      <name val="Tahoma"/>
      <family val="2"/>
    </font>
    <font>
      <sz val="9"/>
      <color indexed="81"/>
      <name val="Tahoma"/>
      <family val="2"/>
    </font>
    <font>
      <sz val="8"/>
      <color theme="1" tint="0.499984740745262"/>
      <name val="Arial"/>
      <family val="2"/>
    </font>
    <font>
      <b/>
      <sz val="10"/>
      <color rgb="FF000000"/>
      <name val="Arial"/>
      <family val="2"/>
    </font>
    <font>
      <b/>
      <vertAlign val="subscript"/>
      <sz val="10"/>
      <color rgb="FF000000"/>
      <name val="Arial"/>
      <family val="2"/>
    </font>
    <font>
      <b/>
      <sz val="8"/>
      <color theme="1"/>
      <name val="Arial"/>
      <family val="2"/>
    </font>
    <font>
      <sz val="10"/>
      <color theme="1"/>
      <name val="Arial"/>
      <family val="2"/>
    </font>
    <font>
      <sz val="8"/>
      <color theme="1"/>
      <name val="Calibri"/>
      <family val="2"/>
      <scheme val="minor"/>
    </font>
    <font>
      <b/>
      <sz val="10"/>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rgb="FFFF0000"/>
      <name val="Arial"/>
      <family val="2"/>
    </font>
    <font>
      <b/>
      <sz val="11"/>
      <color rgb="FFFF0000"/>
      <name val="Calibri"/>
      <family val="2"/>
      <scheme val="minor"/>
    </font>
    <font>
      <b/>
      <u/>
      <sz val="8"/>
      <name val="Arial"/>
      <family val="2"/>
    </font>
    <font>
      <u/>
      <sz val="8"/>
      <color indexed="12"/>
      <name val="Arial"/>
      <family val="2"/>
    </font>
    <font>
      <i/>
      <sz val="8"/>
      <name val="Arial"/>
      <family val="2"/>
    </font>
    <font>
      <vertAlign val="superscript"/>
      <sz val="8"/>
      <name val="Arial"/>
      <family val="2"/>
    </font>
    <font>
      <sz val="8"/>
      <color indexed="8"/>
      <name val="Arial"/>
      <family val="2"/>
    </font>
    <font>
      <sz val="8"/>
      <color indexed="16"/>
      <name val="Arial"/>
      <family val="2"/>
    </font>
    <font>
      <sz val="10"/>
      <color rgb="FF9C0006"/>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8"/>
      <color rgb="FFFF0000"/>
      <name val="Calibri"/>
      <family val="2"/>
      <scheme val="minor"/>
    </font>
    <font>
      <sz val="8"/>
      <color rgb="FFFF0000"/>
      <name val="Arial"/>
      <family val="2"/>
    </font>
    <font>
      <sz val="11"/>
      <name val="Calibri"/>
      <family val="2"/>
      <scheme val="minor"/>
    </font>
    <font>
      <sz val="10"/>
      <color theme="1"/>
      <name val="Calibri"/>
      <family val="2"/>
      <scheme val="minor"/>
    </font>
  </fonts>
  <fills count="20">
    <fill>
      <patternFill patternType="none"/>
    </fill>
    <fill>
      <patternFill patternType="gray125"/>
    </fill>
    <fill>
      <patternFill patternType="solid">
        <fgColor rgb="FFFFC7CE"/>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00B0F0"/>
        <bgColor indexed="64"/>
      </patternFill>
    </fill>
    <fill>
      <patternFill patternType="solid">
        <fgColor rgb="FFFF0000"/>
        <bgColor indexed="64"/>
      </patternFill>
    </fill>
    <fill>
      <patternFill patternType="solid">
        <fgColor rgb="FFCCFFFF"/>
        <bgColor indexed="64"/>
      </patternFill>
    </fill>
    <fill>
      <patternFill patternType="solid">
        <fgColor rgb="FF7D9CAF"/>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rgb="FFFFFF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66FF"/>
        <bgColor indexed="64"/>
      </patternFill>
    </fill>
    <fill>
      <patternFill patternType="solid">
        <fgColor theme="7" tint="0.59999389629810485"/>
        <bgColor indexed="64"/>
      </patternFill>
    </fill>
  </fills>
  <borders count="3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s>
  <cellStyleXfs count="13">
    <xf numFmtId="0" fontId="0" fillId="0" borderId="0"/>
    <xf numFmtId="0" fontId="2" fillId="2" borderId="0" applyNumberFormat="0" applyBorder="0" applyAlignment="0" applyProtection="0"/>
    <xf numFmtId="0" fontId="4" fillId="0" borderId="0" applyNumberFormat="0" applyFill="0" applyBorder="0" applyAlignment="0" applyProtection="0">
      <protection locked="0"/>
    </xf>
    <xf numFmtId="0" fontId="14" fillId="0" borderId="0" applyNumberFormat="0" applyFill="0" applyBorder="0" applyAlignment="0" applyProtection="0">
      <alignment horizontal="left"/>
      <protection locked="0"/>
    </xf>
    <xf numFmtId="0" fontId="27" fillId="0" borderId="0" applyNumberFormat="0" applyFill="0" applyBorder="0" applyAlignment="0" applyProtection="0">
      <alignment horizontal="left"/>
      <protection locked="0"/>
    </xf>
    <xf numFmtId="165" fontId="29"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6" fontId="29" fillId="0" borderId="0" applyFont="0" applyFill="0" applyBorder="0" applyAlignment="0" applyProtection="0">
      <alignment horizontal="left"/>
      <protection locked="0"/>
    </xf>
    <xf numFmtId="0" fontId="4" fillId="0" borderId="0" applyNumberFormat="0" applyFill="0" applyBorder="0" applyAlignment="0" applyProtection="0">
      <protection locked="0"/>
    </xf>
    <xf numFmtId="0" fontId="38" fillId="0" borderId="0" applyNumberFormat="0" applyFill="0" applyBorder="0" applyAlignment="0" applyProtection="0">
      <alignment horizontal="center" vertical="top" wrapText="1"/>
      <protection locked="0"/>
    </xf>
    <xf numFmtId="0" fontId="27" fillId="0" borderId="0" applyNumberFormat="0" applyFill="0" applyBorder="0" applyAlignment="0" applyProtection="0">
      <alignment horizontal="center" vertical="top" wrapText="1"/>
    </xf>
  </cellStyleXfs>
  <cellXfs count="736">
    <xf numFmtId="0" fontId="0" fillId="0" borderId="0" xfId="0"/>
    <xf numFmtId="0" fontId="5" fillId="0" borderId="0" xfId="2" applyFont="1" applyProtection="1"/>
    <xf numFmtId="0" fontId="6" fillId="3" borderId="1" xfId="0" applyFont="1" applyFill="1" applyBorder="1" applyProtection="1">
      <protection locked="0"/>
    </xf>
    <xf numFmtId="0" fontId="6" fillId="3" borderId="2" xfId="0" applyFont="1" applyFill="1" applyBorder="1"/>
    <xf numFmtId="0" fontId="6" fillId="3" borderId="2" xfId="0" applyFont="1" applyFill="1" applyBorder="1" applyAlignment="1">
      <alignment horizontal="centerContinuous"/>
    </xf>
    <xf numFmtId="0" fontId="6" fillId="3" borderId="3" xfId="0" applyFont="1" applyFill="1" applyBorder="1" applyAlignment="1" applyProtection="1">
      <protection locked="0"/>
    </xf>
    <xf numFmtId="0" fontId="0" fillId="3" borderId="0" xfId="0" applyFill="1" applyBorder="1" applyAlignment="1"/>
    <xf numFmtId="0" fontId="6" fillId="0" borderId="4" xfId="0" applyFont="1" applyBorder="1" applyAlignment="1" applyProtection="1">
      <alignment horizontal="left"/>
      <protection locked="0"/>
    </xf>
    <xf numFmtId="0" fontId="7" fillId="0" borderId="4" xfId="0" applyFont="1" applyFill="1" applyBorder="1" applyAlignment="1" applyProtection="1">
      <alignment horizontal="center"/>
      <protection locked="0"/>
    </xf>
    <xf numFmtId="0" fontId="6" fillId="3" borderId="2" xfId="0" applyFont="1" applyFill="1" applyBorder="1" applyAlignment="1" applyProtection="1">
      <alignment horizontal="center"/>
      <protection locked="0"/>
    </xf>
    <xf numFmtId="0" fontId="6" fillId="4" borderId="3" xfId="0" applyFont="1" applyFill="1" applyBorder="1" applyAlignment="1" applyProtection="1">
      <alignment horizontal="center"/>
      <protection locked="0"/>
    </xf>
    <xf numFmtId="0" fontId="6" fillId="3" borderId="3" xfId="0" applyFont="1" applyFill="1" applyBorder="1" applyAlignment="1" applyProtection="1">
      <alignment horizontal="center"/>
      <protection locked="0"/>
    </xf>
    <xf numFmtId="0" fontId="6" fillId="3" borderId="0" xfId="0" applyFont="1" applyFill="1" applyBorder="1" applyAlignment="1" applyProtection="1">
      <alignment horizontal="center"/>
      <protection locked="0"/>
    </xf>
    <xf numFmtId="0" fontId="8" fillId="3" borderId="0" xfId="0" applyFont="1" applyFill="1" applyBorder="1" applyAlignment="1" applyProtection="1">
      <alignment horizontal="center"/>
      <protection locked="0"/>
    </xf>
    <xf numFmtId="1" fontId="8" fillId="3" borderId="0" xfId="0" applyNumberFormat="1" applyFont="1" applyFill="1" applyBorder="1" applyAlignment="1" applyProtection="1">
      <alignment horizontal="center"/>
      <protection locked="0"/>
    </xf>
    <xf numFmtId="0" fontId="6" fillId="0" borderId="3"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Border="1" applyAlignment="1" applyProtection="1">
      <alignment horizontal="left"/>
      <protection locked="0"/>
    </xf>
    <xf numFmtId="164" fontId="6" fillId="3" borderId="0" xfId="0" applyNumberFormat="1" applyFont="1" applyFill="1" applyBorder="1" applyAlignment="1">
      <alignment horizontal="left"/>
    </xf>
    <xf numFmtId="0" fontId="9" fillId="0" borderId="0" xfId="0" applyFont="1" applyBorder="1" applyAlignment="1" applyProtection="1">
      <alignment horizontal="center"/>
      <protection locked="0"/>
    </xf>
    <xf numFmtId="0" fontId="7" fillId="0" borderId="3" xfId="0" applyFont="1" applyFill="1" applyBorder="1" applyAlignment="1" applyProtection="1">
      <alignment horizontal="center"/>
      <protection locked="0"/>
    </xf>
    <xf numFmtId="0" fontId="10" fillId="4" borderId="3" xfId="0" applyFont="1" applyFill="1" applyBorder="1" applyAlignment="1" applyProtection="1">
      <alignment horizontal="center"/>
      <protection locked="0"/>
    </xf>
    <xf numFmtId="0" fontId="10" fillId="4" borderId="0" xfId="0" applyFont="1" applyFill="1" applyBorder="1" applyAlignment="1" applyProtection="1">
      <alignment horizontal="center"/>
      <protection locked="0"/>
    </xf>
    <xf numFmtId="0" fontId="8" fillId="3" borderId="2" xfId="0" applyFont="1" applyFill="1" applyBorder="1" applyAlignment="1">
      <alignment horizontal="center"/>
    </xf>
    <xf numFmtId="0" fontId="10" fillId="3" borderId="3" xfId="0" applyFont="1" applyFill="1" applyBorder="1" applyAlignment="1" applyProtection="1">
      <alignment horizontal="center"/>
      <protection locked="0"/>
    </xf>
    <xf numFmtId="0" fontId="10" fillId="3" borderId="0" xfId="0" applyFont="1" applyFill="1" applyBorder="1" applyAlignment="1" applyProtection="1">
      <alignment horizontal="center"/>
      <protection locked="0"/>
    </xf>
    <xf numFmtId="0" fontId="11" fillId="0" borderId="3"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3" xfId="0" applyFont="1" applyBorder="1" applyAlignment="1" applyProtection="1">
      <alignment horizontal="center"/>
      <protection locked="0"/>
    </xf>
    <xf numFmtId="164" fontId="11" fillId="3" borderId="0" xfId="0" applyNumberFormat="1" applyFont="1" applyFill="1" applyBorder="1" applyAlignment="1" applyProtection="1">
      <alignment horizontal="center"/>
      <protection locked="0"/>
    </xf>
    <xf numFmtId="0" fontId="8" fillId="0" borderId="0" xfId="0" applyFont="1" applyBorder="1" applyAlignment="1" applyProtection="1">
      <alignment horizontal="center"/>
      <protection locked="0"/>
    </xf>
    <xf numFmtId="0" fontId="13" fillId="5" borderId="6" xfId="0" applyFont="1" applyFill="1" applyBorder="1" applyAlignment="1" applyProtection="1">
      <alignment horizontal="center"/>
      <protection locked="0"/>
    </xf>
    <xf numFmtId="0" fontId="3" fillId="0" borderId="0" xfId="0" applyFont="1" applyFill="1"/>
    <xf numFmtId="0" fontId="6" fillId="3" borderId="7" xfId="0" applyFont="1" applyFill="1" applyBorder="1" applyAlignment="1" applyProtection="1">
      <alignment horizontal="center"/>
      <protection locked="0"/>
    </xf>
    <xf numFmtId="0" fontId="6" fillId="4" borderId="8" xfId="0" applyFont="1" applyFill="1" applyBorder="1" applyAlignment="1" applyProtection="1">
      <alignment horizontal="center"/>
      <protection locked="0"/>
    </xf>
    <xf numFmtId="0" fontId="6" fillId="4" borderId="9" xfId="0" applyFont="1" applyFill="1" applyBorder="1" applyAlignment="1" applyProtection="1">
      <alignment horizontal="center"/>
      <protection locked="0"/>
    </xf>
    <xf numFmtId="0" fontId="6" fillId="3" borderId="7" xfId="0" applyFont="1" applyFill="1" applyBorder="1" applyAlignment="1">
      <alignment horizontal="center"/>
    </xf>
    <xf numFmtId="0" fontId="6" fillId="3" borderId="8" xfId="0" applyFont="1" applyFill="1" applyBorder="1" applyAlignment="1" applyProtection="1">
      <alignment horizontal="center"/>
      <protection locked="0"/>
    </xf>
    <xf numFmtId="0" fontId="6" fillId="3" borderId="9" xfId="0" applyFont="1" applyFill="1" applyBorder="1" applyAlignment="1" applyProtection="1">
      <alignment horizontal="center"/>
      <protection locked="0"/>
    </xf>
    <xf numFmtId="0" fontId="14" fillId="0" borderId="10" xfId="0" applyFont="1" applyFill="1" applyBorder="1" applyAlignment="1">
      <alignment horizontal="center" vertical="center" wrapText="1"/>
    </xf>
    <xf numFmtId="1" fontId="6" fillId="3" borderId="9" xfId="0" applyNumberFormat="1" applyFont="1" applyFill="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9" xfId="0" applyFont="1" applyBorder="1" applyAlignment="1" applyProtection="1">
      <alignment horizontal="center"/>
      <protection locked="0"/>
    </xf>
    <xf numFmtId="164" fontId="6" fillId="3" borderId="9" xfId="0" applyNumberFormat="1" applyFont="1" applyFill="1" applyBorder="1" applyAlignment="1" applyProtection="1">
      <alignment horizontal="centerContinuous"/>
      <protection locked="0"/>
    </xf>
    <xf numFmtId="0" fontId="9" fillId="0" borderId="9" xfId="0" applyFont="1" applyBorder="1" applyAlignment="1" applyProtection="1">
      <alignment horizontal="center"/>
      <protection locked="0"/>
    </xf>
    <xf numFmtId="0" fontId="15" fillId="5" borderId="11" xfId="0" applyFont="1" applyFill="1" applyBorder="1" applyAlignment="1" applyProtection="1">
      <alignment horizontal="center"/>
      <protection locked="0"/>
    </xf>
    <xf numFmtId="0" fontId="4" fillId="6" borderId="14" xfId="0" applyFont="1" applyFill="1" applyBorder="1" applyAlignment="1">
      <alignment horizontal="center" vertical="center"/>
    </xf>
    <xf numFmtId="14" fontId="0" fillId="6" borderId="15" xfId="0" applyNumberFormat="1" applyFill="1" applyBorder="1" applyAlignment="1">
      <alignment horizontal="center" vertical="center"/>
    </xf>
    <xf numFmtId="2" fontId="4" fillId="6" borderId="15" xfId="0" applyNumberFormat="1" applyFont="1"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4" fillId="6" borderId="15" xfId="0" applyFont="1" applyFill="1" applyBorder="1" applyAlignment="1">
      <alignment horizontal="center" vertical="center"/>
    </xf>
    <xf numFmtId="2" fontId="4" fillId="6" borderId="16" xfId="0" applyNumberFormat="1" applyFont="1" applyFill="1" applyBorder="1" applyAlignment="1">
      <alignment horizontal="center" vertical="center"/>
    </xf>
    <xf numFmtId="2" fontId="0" fillId="6" borderId="17" xfId="0" applyNumberFormat="1" applyFill="1" applyBorder="1" applyAlignment="1">
      <alignment horizontal="center" vertical="center"/>
    </xf>
    <xf numFmtId="0" fontId="4" fillId="6" borderId="17" xfId="0" applyFont="1" applyFill="1" applyBorder="1" applyAlignment="1">
      <alignment horizontal="center" vertical="center"/>
    </xf>
    <xf numFmtId="0" fontId="0" fillId="6" borderId="17" xfId="0" applyFill="1" applyBorder="1" applyAlignment="1">
      <alignment horizontal="center" vertical="center"/>
    </xf>
    <xf numFmtId="2" fontId="0" fillId="6" borderId="16" xfId="0" applyNumberFormat="1" applyFill="1" applyBorder="1" applyAlignment="1">
      <alignment horizontal="center" vertical="center"/>
    </xf>
    <xf numFmtId="2" fontId="4" fillId="6" borderId="17" xfId="0" applyNumberFormat="1" applyFont="1" applyFill="1" applyBorder="1" applyAlignment="1">
      <alignment horizontal="center" vertical="center"/>
    </xf>
    <xf numFmtId="0" fontId="4" fillId="6" borderId="16" xfId="0" applyFont="1" applyFill="1" applyBorder="1" applyAlignment="1">
      <alignment horizontal="center" vertical="center"/>
    </xf>
    <xf numFmtId="0" fontId="4" fillId="6" borderId="18" xfId="0" applyFont="1" applyFill="1" applyBorder="1" applyAlignment="1">
      <alignment horizontal="center" vertical="center"/>
    </xf>
    <xf numFmtId="14" fontId="0" fillId="6" borderId="19" xfId="0" applyNumberFormat="1" applyFill="1" applyBorder="1" applyAlignment="1">
      <alignment horizontal="center" vertical="center"/>
    </xf>
    <xf numFmtId="2" fontId="4" fillId="6" borderId="19" xfId="0" applyNumberFormat="1" applyFont="1" applyFill="1" applyBorder="1" applyAlignment="1">
      <alignment horizontal="center" vertical="center"/>
    </xf>
    <xf numFmtId="0" fontId="0" fillId="6" borderId="19" xfId="0" applyFill="1" applyBorder="1" applyAlignment="1">
      <alignment horizontal="center" vertical="center"/>
    </xf>
    <xf numFmtId="0" fontId="0" fillId="6" borderId="20" xfId="0" applyFill="1" applyBorder="1" applyAlignment="1">
      <alignment horizontal="center" vertical="center"/>
    </xf>
    <xf numFmtId="0" fontId="4" fillId="6" borderId="19" xfId="0" applyFont="1" applyFill="1" applyBorder="1" applyAlignment="1">
      <alignment horizontal="center" vertical="center"/>
    </xf>
    <xf numFmtId="2" fontId="4" fillId="6" borderId="20" xfId="0" applyNumberFormat="1" applyFont="1" applyFill="1" applyBorder="1" applyAlignment="1">
      <alignment horizontal="center" vertical="center"/>
    </xf>
    <xf numFmtId="2" fontId="0" fillId="6" borderId="21" xfId="0" applyNumberFormat="1" applyFill="1" applyBorder="1" applyAlignment="1">
      <alignment horizontal="center" vertical="center"/>
    </xf>
    <xf numFmtId="0" fontId="4" fillId="6" borderId="21" xfId="0" applyFont="1" applyFill="1" applyBorder="1" applyAlignment="1">
      <alignment horizontal="center" vertical="center"/>
    </xf>
    <xf numFmtId="0" fontId="0" fillId="6" borderId="21" xfId="0" applyFill="1" applyBorder="1" applyAlignment="1">
      <alignment horizontal="center" vertical="center"/>
    </xf>
    <xf numFmtId="2" fontId="0" fillId="6" borderId="20" xfId="0" applyNumberFormat="1" applyFill="1" applyBorder="1" applyAlignment="1">
      <alignment horizontal="center" vertical="center"/>
    </xf>
    <xf numFmtId="2" fontId="4" fillId="6" borderId="21" xfId="0" applyNumberFormat="1" applyFont="1" applyFill="1" applyBorder="1" applyAlignment="1">
      <alignment horizontal="center" vertical="center"/>
    </xf>
    <xf numFmtId="0" fontId="4" fillId="6" borderId="20" xfId="0" applyFont="1" applyFill="1" applyBorder="1" applyAlignment="1">
      <alignment horizontal="center" vertical="center"/>
    </xf>
    <xf numFmtId="0" fontId="4" fillId="6" borderId="22" xfId="0" applyFont="1" applyFill="1" applyBorder="1" applyAlignment="1">
      <alignment horizontal="center" vertical="center"/>
    </xf>
    <xf numFmtId="14" fontId="0" fillId="6" borderId="23" xfId="0" applyNumberFormat="1" applyFill="1" applyBorder="1" applyAlignment="1">
      <alignment horizontal="center" vertical="center"/>
    </xf>
    <xf numFmtId="2" fontId="4" fillId="6" borderId="23" xfId="0" applyNumberFormat="1" applyFont="1" applyFill="1" applyBorder="1" applyAlignment="1">
      <alignment horizontal="center" vertical="center"/>
    </xf>
    <xf numFmtId="0" fontId="0" fillId="6" borderId="23" xfId="0" applyFill="1" applyBorder="1" applyAlignment="1">
      <alignment horizontal="center" vertical="center"/>
    </xf>
    <xf numFmtId="0" fontId="0" fillId="6" borderId="24" xfId="0" applyFill="1" applyBorder="1" applyAlignment="1">
      <alignment horizontal="center" vertical="center"/>
    </xf>
    <xf numFmtId="0" fontId="4" fillId="6" borderId="23" xfId="0" applyFont="1" applyFill="1" applyBorder="1" applyAlignment="1">
      <alignment horizontal="center" vertical="center"/>
    </xf>
    <xf numFmtId="2" fontId="4" fillId="6" borderId="24" xfId="0" applyNumberFormat="1" applyFont="1" applyFill="1" applyBorder="1" applyAlignment="1">
      <alignment horizontal="center" vertical="center"/>
    </xf>
    <xf numFmtId="2" fontId="0" fillId="6" borderId="25" xfId="0" applyNumberFormat="1" applyFill="1" applyBorder="1" applyAlignment="1">
      <alignment horizontal="center" vertical="center"/>
    </xf>
    <xf numFmtId="0" fontId="4" fillId="6" borderId="25" xfId="0" applyFont="1" applyFill="1" applyBorder="1" applyAlignment="1">
      <alignment horizontal="center" vertical="center"/>
    </xf>
    <xf numFmtId="0" fontId="0" fillId="6" borderId="25" xfId="0" applyFill="1" applyBorder="1" applyAlignment="1">
      <alignment horizontal="center" vertical="center"/>
    </xf>
    <xf numFmtId="2" fontId="0" fillId="6" borderId="24" xfId="0" applyNumberFormat="1" applyFill="1" applyBorder="1" applyAlignment="1">
      <alignment horizontal="center" vertical="center"/>
    </xf>
    <xf numFmtId="2" fontId="4" fillId="6" borderId="25" xfId="0" applyNumberFormat="1" applyFont="1" applyFill="1" applyBorder="1" applyAlignment="1">
      <alignment horizontal="center" vertical="center"/>
    </xf>
    <xf numFmtId="0" fontId="4" fillId="6" borderId="24" xfId="0" applyFont="1" applyFill="1" applyBorder="1" applyAlignment="1">
      <alignment horizontal="center" vertical="center"/>
    </xf>
    <xf numFmtId="0" fontId="4" fillId="0" borderId="22" xfId="0" applyFont="1" applyFill="1" applyBorder="1" applyAlignment="1">
      <alignment horizontal="center" vertical="center"/>
    </xf>
    <xf numFmtId="14" fontId="0" fillId="0" borderId="23" xfId="0" applyNumberFormat="1" applyFill="1" applyBorder="1" applyAlignment="1">
      <alignment horizontal="center" vertical="center"/>
    </xf>
    <xf numFmtId="2" fontId="4" fillId="0" borderId="23" xfId="0" applyNumberFormat="1" applyFont="1" applyFill="1"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4" fillId="0" borderId="23" xfId="0" applyFont="1" applyFill="1" applyBorder="1" applyAlignment="1">
      <alignment horizontal="center" vertical="center"/>
    </xf>
    <xf numFmtId="2" fontId="4" fillId="0" borderId="24" xfId="0" applyNumberFormat="1" applyFont="1" applyFill="1" applyBorder="1" applyAlignment="1">
      <alignment horizontal="center" vertical="center"/>
    </xf>
    <xf numFmtId="2" fontId="0" fillId="0" borderId="25" xfId="0" applyNumberFormat="1" applyFill="1" applyBorder="1" applyAlignment="1">
      <alignment horizontal="center" vertical="center"/>
    </xf>
    <xf numFmtId="2" fontId="4" fillId="0" borderId="25" xfId="0" applyNumberFormat="1" applyFont="1" applyFill="1" applyBorder="1" applyAlignment="1">
      <alignment horizontal="center" vertical="center"/>
    </xf>
    <xf numFmtId="2" fontId="0" fillId="7" borderId="25" xfId="0" applyNumberFormat="1" applyFill="1" applyBorder="1" applyAlignment="1">
      <alignment horizontal="center" vertical="center"/>
    </xf>
    <xf numFmtId="0" fontId="0" fillId="0" borderId="25" xfId="0" applyFill="1" applyBorder="1" applyAlignment="1">
      <alignment horizontal="center" vertical="center"/>
    </xf>
    <xf numFmtId="2" fontId="0" fillId="0" borderId="24" xfId="0" applyNumberFormat="1" applyFill="1" applyBorder="1" applyAlignment="1">
      <alignment horizontal="center" vertical="center"/>
    </xf>
    <xf numFmtId="2" fontId="20" fillId="0" borderId="24" xfId="0" applyNumberFormat="1" applyFont="1" applyFill="1" applyBorder="1" applyAlignment="1">
      <alignment horizontal="center" vertical="center"/>
    </xf>
    <xf numFmtId="2" fontId="20" fillId="0" borderId="25" xfId="0" applyNumberFormat="1" applyFont="1" applyFill="1" applyBorder="1" applyAlignment="1">
      <alignment horizontal="center" vertical="center"/>
    </xf>
    <xf numFmtId="0" fontId="20" fillId="0" borderId="25" xfId="0" applyFont="1" applyFill="1" applyBorder="1" applyAlignment="1">
      <alignment horizontal="center" vertical="center"/>
    </xf>
    <xf numFmtId="0" fontId="4" fillId="0" borderId="24" xfId="0" applyFont="1" applyFill="1" applyBorder="1" applyAlignment="1">
      <alignment horizontal="center" vertical="center"/>
    </xf>
    <xf numFmtId="0" fontId="0" fillId="0" borderId="24" xfId="0" applyBorder="1" applyAlignment="1">
      <alignment horizontal="center" vertical="center"/>
    </xf>
    <xf numFmtId="0" fontId="4" fillId="8" borderId="14" xfId="0" applyFont="1" applyFill="1" applyBorder="1" applyAlignment="1">
      <alignment horizontal="center" vertical="center"/>
    </xf>
    <xf numFmtId="14" fontId="0" fillId="8" borderId="15" xfId="0" applyNumberFormat="1" applyFill="1" applyBorder="1" applyAlignment="1">
      <alignment horizontal="center" vertical="center"/>
    </xf>
    <xf numFmtId="2" fontId="4" fillId="8" borderId="15" xfId="0" applyNumberFormat="1" applyFont="1"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4" fillId="8" borderId="15" xfId="0" applyFont="1" applyFill="1" applyBorder="1" applyAlignment="1">
      <alignment horizontal="center" vertical="center"/>
    </xf>
    <xf numFmtId="2" fontId="4" fillId="8" borderId="16" xfId="0" applyNumberFormat="1" applyFont="1" applyFill="1" applyBorder="1" applyAlignment="1">
      <alignment horizontal="center" vertical="center"/>
    </xf>
    <xf numFmtId="2" fontId="0" fillId="8" borderId="17" xfId="0" applyNumberFormat="1" applyFill="1" applyBorder="1" applyAlignment="1">
      <alignment horizontal="center" vertical="center"/>
    </xf>
    <xf numFmtId="2" fontId="4" fillId="8" borderId="17" xfId="0" applyNumberFormat="1" applyFont="1" applyFill="1" applyBorder="1" applyAlignment="1">
      <alignment horizontal="center" vertical="center"/>
    </xf>
    <xf numFmtId="0" fontId="0" fillId="8" borderId="17" xfId="0" applyFill="1" applyBorder="1" applyAlignment="1">
      <alignment horizontal="center" vertical="center"/>
    </xf>
    <xf numFmtId="2" fontId="0" fillId="8" borderId="16" xfId="0" applyNumberFormat="1" applyFill="1" applyBorder="1" applyAlignment="1">
      <alignment horizontal="center" vertical="center"/>
    </xf>
    <xf numFmtId="0" fontId="20" fillId="8" borderId="17"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16" xfId="0" applyFont="1" applyFill="1" applyBorder="1" applyAlignment="1">
      <alignment horizontal="center" vertical="center"/>
    </xf>
    <xf numFmtId="0" fontId="4" fillId="8" borderId="22" xfId="0" applyFont="1" applyFill="1" applyBorder="1" applyAlignment="1">
      <alignment horizontal="center" vertical="center"/>
    </xf>
    <xf numFmtId="14" fontId="0" fillId="8" borderId="23" xfId="0" applyNumberFormat="1" applyFill="1" applyBorder="1" applyAlignment="1">
      <alignment horizontal="center" vertical="center"/>
    </xf>
    <xf numFmtId="2" fontId="4" fillId="8" borderId="26" xfId="0" applyNumberFormat="1" applyFont="1"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4" fillId="8" borderId="23" xfId="0" applyFont="1" applyFill="1" applyBorder="1" applyAlignment="1">
      <alignment horizontal="center" vertical="center"/>
    </xf>
    <xf numFmtId="2" fontId="4" fillId="8" borderId="24" xfId="0" applyNumberFormat="1" applyFont="1" applyFill="1" applyBorder="1" applyAlignment="1">
      <alignment horizontal="center" vertical="center"/>
    </xf>
    <xf numFmtId="2" fontId="0" fillId="8" borderId="25" xfId="0" applyNumberFormat="1" applyFill="1" applyBorder="1" applyAlignment="1">
      <alignment horizontal="center" vertical="center"/>
    </xf>
    <xf numFmtId="2" fontId="4" fillId="8" borderId="25" xfId="0" applyNumberFormat="1" applyFont="1" applyFill="1" applyBorder="1" applyAlignment="1">
      <alignment horizontal="center" vertical="center"/>
    </xf>
    <xf numFmtId="0" fontId="0" fillId="8" borderId="25" xfId="0" applyFill="1" applyBorder="1" applyAlignment="1">
      <alignment horizontal="center" vertical="center"/>
    </xf>
    <xf numFmtId="2" fontId="0" fillId="8" borderId="24" xfId="0" applyNumberFormat="1" applyFill="1" applyBorder="1" applyAlignment="1">
      <alignment horizontal="center" vertical="center"/>
    </xf>
    <xf numFmtId="2" fontId="20" fillId="8" borderId="25" xfId="0" applyNumberFormat="1" applyFont="1" applyFill="1" applyBorder="1" applyAlignment="1">
      <alignment horizontal="center" vertical="center"/>
    </xf>
    <xf numFmtId="0" fontId="4" fillId="8" borderId="25" xfId="0" applyFont="1" applyFill="1" applyBorder="1" applyAlignment="1">
      <alignment horizontal="center" vertical="center"/>
    </xf>
    <xf numFmtId="0" fontId="4" fillId="8" borderId="24" xfId="0" applyFont="1" applyFill="1" applyBorder="1" applyAlignment="1">
      <alignment horizontal="center" vertical="center"/>
    </xf>
    <xf numFmtId="0" fontId="4" fillId="9" borderId="14" xfId="0" applyFont="1" applyFill="1" applyBorder="1" applyAlignment="1">
      <alignment horizontal="center" vertical="center"/>
    </xf>
    <xf numFmtId="14" fontId="0" fillId="9" borderId="15" xfId="0" applyNumberFormat="1" applyFill="1" applyBorder="1" applyAlignment="1">
      <alignment horizontal="center"/>
    </xf>
    <xf numFmtId="2" fontId="0" fillId="9" borderId="15" xfId="0" applyNumberFormat="1" applyFill="1" applyBorder="1" applyAlignment="1">
      <alignment horizontal="center"/>
    </xf>
    <xf numFmtId="0" fontId="0" fillId="9" borderId="15" xfId="0" applyFill="1" applyBorder="1" applyAlignment="1">
      <alignment horizontal="center"/>
    </xf>
    <xf numFmtId="0" fontId="0" fillId="9" borderId="16" xfId="0" applyFill="1" applyBorder="1" applyAlignment="1">
      <alignment horizontal="center"/>
    </xf>
    <xf numFmtId="0" fontId="4" fillId="9" borderId="15" xfId="0" applyFont="1" applyFill="1" applyBorder="1" applyAlignment="1">
      <alignment horizontal="center"/>
    </xf>
    <xf numFmtId="2" fontId="4" fillId="9" borderId="16" xfId="0" applyNumberFormat="1" applyFont="1" applyFill="1" applyBorder="1" applyAlignment="1">
      <alignment horizontal="center"/>
    </xf>
    <xf numFmtId="0" fontId="4" fillId="9" borderId="17" xfId="0" applyFont="1" applyFill="1" applyBorder="1" applyAlignment="1">
      <alignment horizontal="center"/>
    </xf>
    <xf numFmtId="2" fontId="4" fillId="9" borderId="17" xfId="0" applyNumberFormat="1" applyFont="1" applyFill="1" applyBorder="1" applyAlignment="1">
      <alignment horizontal="center"/>
    </xf>
    <xf numFmtId="0" fontId="0" fillId="9" borderId="17" xfId="0" applyFill="1" applyBorder="1" applyAlignment="1">
      <alignment horizontal="center"/>
    </xf>
    <xf numFmtId="2" fontId="0" fillId="9" borderId="16" xfId="0" applyNumberFormat="1" applyFill="1" applyBorder="1" applyAlignment="1">
      <alignment horizontal="center"/>
    </xf>
    <xf numFmtId="2" fontId="4" fillId="9" borderId="17" xfId="0" applyNumberFormat="1" applyFont="1" applyFill="1" applyBorder="1" applyAlignment="1">
      <alignment horizontal="center" vertical="center"/>
    </xf>
    <xf numFmtId="2" fontId="0" fillId="9" borderId="17" xfId="0" applyNumberFormat="1" applyFill="1" applyBorder="1" applyAlignment="1">
      <alignment horizontal="center"/>
    </xf>
    <xf numFmtId="0" fontId="0" fillId="9" borderId="17" xfId="0" applyFill="1" applyBorder="1"/>
    <xf numFmtId="2" fontId="0" fillId="9" borderId="17" xfId="0" applyNumberFormat="1" applyFill="1" applyBorder="1" applyAlignment="1">
      <alignment horizontal="center" vertical="center"/>
    </xf>
    <xf numFmtId="0" fontId="4" fillId="9" borderId="16" xfId="0" applyFont="1" applyFill="1" applyBorder="1" applyAlignment="1">
      <alignment horizontal="center"/>
    </xf>
    <xf numFmtId="0" fontId="4" fillId="10" borderId="22" xfId="0" applyFont="1" applyFill="1" applyBorder="1" applyAlignment="1">
      <alignment horizontal="center" vertical="center"/>
    </xf>
    <xf numFmtId="14" fontId="0" fillId="10" borderId="23" xfId="0" applyNumberFormat="1" applyFill="1" applyBorder="1" applyAlignment="1">
      <alignment horizontal="center"/>
    </xf>
    <xf numFmtId="2" fontId="0" fillId="10" borderId="23" xfId="0" applyNumberFormat="1" applyFill="1" applyBorder="1" applyAlignment="1">
      <alignment horizontal="center"/>
    </xf>
    <xf numFmtId="0" fontId="0" fillId="10" borderId="23" xfId="0" applyFill="1" applyBorder="1" applyAlignment="1">
      <alignment horizontal="center"/>
    </xf>
    <xf numFmtId="0" fontId="0" fillId="10" borderId="24" xfId="0" applyFill="1" applyBorder="1" applyAlignment="1">
      <alignment horizontal="center"/>
    </xf>
    <xf numFmtId="0" fontId="4" fillId="10" borderId="23" xfId="0" applyFont="1" applyFill="1" applyBorder="1" applyAlignment="1">
      <alignment horizontal="center"/>
    </xf>
    <xf numFmtId="2" fontId="4" fillId="10" borderId="24" xfId="0" applyNumberFormat="1" applyFont="1" applyFill="1" applyBorder="1" applyAlignment="1">
      <alignment horizontal="center"/>
    </xf>
    <xf numFmtId="0" fontId="4" fillId="10" borderId="25" xfId="0" applyFont="1" applyFill="1" applyBorder="1" applyAlignment="1">
      <alignment horizontal="center"/>
    </xf>
    <xf numFmtId="2" fontId="4" fillId="10" borderId="25" xfId="0" applyNumberFormat="1" applyFont="1" applyFill="1" applyBorder="1" applyAlignment="1">
      <alignment horizontal="center"/>
    </xf>
    <xf numFmtId="0" fontId="0" fillId="10" borderId="25" xfId="0" applyFill="1" applyBorder="1" applyAlignment="1">
      <alignment horizontal="center"/>
    </xf>
    <xf numFmtId="2" fontId="0" fillId="10" borderId="24" xfId="0" applyNumberFormat="1" applyFill="1" applyBorder="1" applyAlignment="1">
      <alignment horizontal="center"/>
    </xf>
    <xf numFmtId="2" fontId="4" fillId="10" borderId="25" xfId="0" applyNumberFormat="1" applyFont="1" applyFill="1" applyBorder="1" applyAlignment="1">
      <alignment horizontal="center" vertical="center"/>
    </xf>
    <xf numFmtId="2" fontId="0" fillId="10" borderId="25" xfId="0" applyNumberFormat="1" applyFill="1" applyBorder="1"/>
    <xf numFmtId="0" fontId="4" fillId="10" borderId="25" xfId="0" applyFont="1" applyFill="1" applyBorder="1"/>
    <xf numFmtId="2" fontId="0" fillId="10" borderId="25" xfId="0" applyNumberFormat="1" applyFill="1" applyBorder="1" applyAlignment="1">
      <alignment horizontal="center" vertical="center"/>
    </xf>
    <xf numFmtId="14" fontId="0" fillId="6" borderId="15" xfId="0" applyNumberFormat="1" applyFill="1" applyBorder="1" applyAlignment="1">
      <alignment horizontal="center"/>
    </xf>
    <xf numFmtId="2" fontId="0" fillId="6" borderId="15" xfId="0" applyNumberFormat="1"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4" fillId="6" borderId="15" xfId="0" applyFont="1" applyFill="1" applyBorder="1" applyAlignment="1">
      <alignment horizontal="center"/>
    </xf>
    <xf numFmtId="2" fontId="4" fillId="6" borderId="16" xfId="0" applyNumberFormat="1" applyFont="1" applyFill="1" applyBorder="1" applyAlignment="1">
      <alignment horizontal="center"/>
    </xf>
    <xf numFmtId="0" fontId="4" fillId="6" borderId="17" xfId="0" applyFont="1" applyFill="1" applyBorder="1" applyAlignment="1">
      <alignment horizontal="center"/>
    </xf>
    <xf numFmtId="0" fontId="0" fillId="6" borderId="17" xfId="0" applyFill="1" applyBorder="1" applyAlignment="1">
      <alignment horizontal="center"/>
    </xf>
    <xf numFmtId="2" fontId="0" fillId="6" borderId="16" xfId="0" applyNumberFormat="1" applyFill="1" applyBorder="1" applyAlignment="1">
      <alignment horizontal="center"/>
    </xf>
    <xf numFmtId="0" fontId="4" fillId="6" borderId="16" xfId="0" applyFont="1" applyFill="1" applyBorder="1" applyAlignment="1">
      <alignment horizontal="center"/>
    </xf>
    <xf numFmtId="2" fontId="0" fillId="6" borderId="17" xfId="0" applyNumberFormat="1" applyFill="1" applyBorder="1" applyAlignment="1">
      <alignment horizontal="center"/>
    </xf>
    <xf numFmtId="0" fontId="0" fillId="6" borderId="17" xfId="0" applyFill="1" applyBorder="1"/>
    <xf numFmtId="14" fontId="0" fillId="6" borderId="23" xfId="0" applyNumberFormat="1" applyFill="1" applyBorder="1" applyAlignment="1">
      <alignment horizontal="center"/>
    </xf>
    <xf numFmtId="2" fontId="0" fillId="6" borderId="23" xfId="0" applyNumberFormat="1"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4" fillId="6" borderId="23" xfId="0" applyFont="1" applyFill="1" applyBorder="1" applyAlignment="1">
      <alignment horizontal="center"/>
    </xf>
    <xf numFmtId="2" fontId="4" fillId="6" borderId="24" xfId="0" applyNumberFormat="1" applyFont="1" applyFill="1" applyBorder="1" applyAlignment="1">
      <alignment horizontal="center"/>
    </xf>
    <xf numFmtId="0" fontId="4" fillId="6" borderId="25" xfId="0" applyFont="1" applyFill="1" applyBorder="1" applyAlignment="1">
      <alignment horizontal="center"/>
    </xf>
    <xf numFmtId="0" fontId="0" fillId="6" borderId="25" xfId="0" applyFill="1" applyBorder="1" applyAlignment="1">
      <alignment horizontal="center"/>
    </xf>
    <xf numFmtId="2" fontId="0" fillId="6" borderId="24" xfId="0" applyNumberFormat="1" applyFill="1" applyBorder="1" applyAlignment="1">
      <alignment horizontal="center"/>
    </xf>
    <xf numFmtId="0" fontId="4" fillId="6" borderId="24" xfId="0" applyFont="1" applyFill="1" applyBorder="1" applyAlignment="1">
      <alignment horizontal="center"/>
    </xf>
    <xf numFmtId="2" fontId="0" fillId="6" borderId="25" xfId="0" applyNumberFormat="1" applyFill="1" applyBorder="1" applyAlignment="1">
      <alignment horizontal="center"/>
    </xf>
    <xf numFmtId="2" fontId="4" fillId="6" borderId="25" xfId="0" applyNumberFormat="1" applyFont="1" applyFill="1" applyBorder="1" applyAlignment="1">
      <alignment horizontal="center"/>
    </xf>
    <xf numFmtId="0" fontId="0" fillId="6" borderId="25" xfId="0" applyFill="1" applyBorder="1"/>
    <xf numFmtId="0" fontId="4" fillId="10" borderId="14" xfId="0" applyFont="1" applyFill="1" applyBorder="1" applyAlignment="1">
      <alignment horizontal="center" vertical="center"/>
    </xf>
    <xf numFmtId="14" fontId="0" fillId="10" borderId="15" xfId="0" applyNumberFormat="1" applyFill="1" applyBorder="1" applyAlignment="1">
      <alignment horizontal="center" vertical="center"/>
    </xf>
    <xf numFmtId="2" fontId="4" fillId="10" borderId="15" xfId="0" applyNumberFormat="1" applyFont="1" applyFill="1" applyBorder="1" applyAlignment="1">
      <alignment horizontal="center" vertic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4" fillId="10" borderId="15" xfId="0" applyFont="1" applyFill="1" applyBorder="1" applyAlignment="1">
      <alignment horizontal="center" vertical="center"/>
    </xf>
    <xf numFmtId="2" fontId="4" fillId="10" borderId="16" xfId="0" applyNumberFormat="1" applyFont="1" applyFill="1" applyBorder="1" applyAlignment="1">
      <alignment horizontal="center" vertical="center"/>
    </xf>
    <xf numFmtId="2" fontId="4" fillId="10" borderId="17" xfId="0" applyNumberFormat="1" applyFont="1" applyFill="1" applyBorder="1" applyAlignment="1">
      <alignment horizontal="center" vertical="center"/>
    </xf>
    <xf numFmtId="0" fontId="0" fillId="10" borderId="17" xfId="0" applyFill="1" applyBorder="1" applyAlignment="1">
      <alignment horizontal="center" vertical="center"/>
    </xf>
    <xf numFmtId="2" fontId="0" fillId="10" borderId="17" xfId="0" applyNumberFormat="1" applyFill="1" applyBorder="1" applyAlignment="1">
      <alignment horizontal="center" vertical="center"/>
    </xf>
    <xf numFmtId="2" fontId="0" fillId="10" borderId="16" xfId="0" applyNumberFormat="1" applyFill="1" applyBorder="1" applyAlignment="1">
      <alignment horizontal="center" vertical="center"/>
    </xf>
    <xf numFmtId="0" fontId="4" fillId="10" borderId="17" xfId="0" applyFont="1" applyFill="1" applyBorder="1" applyAlignment="1">
      <alignment horizontal="center" vertical="center"/>
    </xf>
    <xf numFmtId="0" fontId="4" fillId="10" borderId="18" xfId="0" applyFont="1" applyFill="1" applyBorder="1" applyAlignment="1">
      <alignment horizontal="center" vertical="center"/>
    </xf>
    <xf numFmtId="14" fontId="0" fillId="10" borderId="19" xfId="0" applyNumberFormat="1" applyFill="1" applyBorder="1" applyAlignment="1">
      <alignment horizontal="center" vertical="center"/>
    </xf>
    <xf numFmtId="2" fontId="4" fillId="10" borderId="19" xfId="0" applyNumberFormat="1" applyFont="1" applyFill="1" applyBorder="1" applyAlignment="1">
      <alignment horizontal="center" vertical="center"/>
    </xf>
    <xf numFmtId="0" fontId="0" fillId="10" borderId="19" xfId="0" applyFill="1" applyBorder="1" applyAlignment="1">
      <alignment horizontal="center" vertical="center"/>
    </xf>
    <xf numFmtId="0" fontId="0" fillId="10" borderId="20" xfId="0" applyFill="1" applyBorder="1" applyAlignment="1">
      <alignment horizontal="center" vertical="center"/>
    </xf>
    <xf numFmtId="0" fontId="4" fillId="10" borderId="19" xfId="0" applyFont="1" applyFill="1" applyBorder="1" applyAlignment="1">
      <alignment horizontal="center" vertical="center"/>
    </xf>
    <xf numFmtId="2" fontId="4" fillId="10" borderId="20" xfId="0" applyNumberFormat="1" applyFont="1" applyFill="1" applyBorder="1" applyAlignment="1">
      <alignment horizontal="center" vertical="center"/>
    </xf>
    <xf numFmtId="2" fontId="4" fillId="10" borderId="21" xfId="0" applyNumberFormat="1" applyFont="1" applyFill="1" applyBorder="1" applyAlignment="1">
      <alignment horizontal="center" vertical="center"/>
    </xf>
    <xf numFmtId="0" fontId="0" fillId="10" borderId="21" xfId="0" applyFill="1" applyBorder="1" applyAlignment="1">
      <alignment horizontal="center" vertical="center"/>
    </xf>
    <xf numFmtId="2" fontId="0" fillId="10" borderId="21" xfId="0" applyNumberFormat="1" applyFill="1" applyBorder="1" applyAlignment="1">
      <alignment horizontal="center" vertical="center"/>
    </xf>
    <xf numFmtId="2" fontId="0" fillId="10" borderId="20" xfId="0" applyNumberFormat="1" applyFill="1" applyBorder="1" applyAlignment="1">
      <alignment horizontal="center" vertical="center"/>
    </xf>
    <xf numFmtId="14" fontId="0" fillId="10" borderId="23" xfId="0" applyNumberFormat="1" applyFill="1" applyBorder="1" applyAlignment="1">
      <alignment horizontal="center" vertical="center"/>
    </xf>
    <xf numFmtId="2" fontId="4" fillId="10" borderId="23" xfId="0" applyNumberFormat="1" applyFont="1"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4" fillId="10" borderId="23" xfId="0" applyFont="1" applyFill="1" applyBorder="1" applyAlignment="1">
      <alignment horizontal="center" vertical="center"/>
    </xf>
    <xf numFmtId="2" fontId="4" fillId="10" borderId="24" xfId="0" applyNumberFormat="1" applyFont="1" applyFill="1" applyBorder="1" applyAlignment="1">
      <alignment horizontal="center" vertical="center"/>
    </xf>
    <xf numFmtId="0" fontId="0" fillId="10" borderId="25" xfId="0" applyFill="1" applyBorder="1" applyAlignment="1">
      <alignment horizontal="center" vertical="center"/>
    </xf>
    <xf numFmtId="2" fontId="0" fillId="10" borderId="24" xfId="0" applyNumberFormat="1" applyFill="1" applyBorder="1" applyAlignment="1">
      <alignment horizontal="center" vertical="center"/>
    </xf>
    <xf numFmtId="0" fontId="4" fillId="3" borderId="1" xfId="2" applyFill="1" applyBorder="1" applyAlignment="1" applyProtection="1">
      <alignment horizontal="center" vertical="center"/>
      <protection locked="0"/>
    </xf>
    <xf numFmtId="0" fontId="4" fillId="3" borderId="1" xfId="2" applyFill="1" applyBorder="1" applyAlignment="1" applyProtection="1">
      <alignment horizontal="center" vertical="center"/>
    </xf>
    <xf numFmtId="0" fontId="4" fillId="0" borderId="1" xfId="2" applyBorder="1" applyAlignment="1" applyProtection="1">
      <alignment horizontal="center" vertical="center"/>
      <protection locked="0"/>
    </xf>
    <xf numFmtId="0" fontId="4" fillId="0" borderId="4" xfId="2" applyBorder="1" applyAlignment="1" applyProtection="1">
      <alignment horizontal="center" vertical="center"/>
      <protection locked="0"/>
    </xf>
    <xf numFmtId="0" fontId="4" fillId="0" borderId="5" xfId="2" applyBorder="1" applyAlignment="1" applyProtection="1">
      <alignment horizontal="center" vertical="center"/>
    </xf>
    <xf numFmtId="0" fontId="4" fillId="0" borderId="13" xfId="2" applyBorder="1" applyAlignment="1" applyProtection="1">
      <alignment horizontal="center" vertical="center"/>
    </xf>
    <xf numFmtId="164" fontId="4" fillId="0" borderId="4" xfId="2" applyNumberFormat="1" applyBorder="1" applyAlignment="1" applyProtection="1">
      <alignment horizontal="center" vertical="center"/>
      <protection locked="0"/>
    </xf>
    <xf numFmtId="0" fontId="4" fillId="0" borderId="4" xfId="2" applyBorder="1" applyAlignment="1" applyProtection="1">
      <alignment horizontal="center" vertical="center"/>
    </xf>
    <xf numFmtId="0" fontId="4" fillId="3" borderId="2" xfId="2" applyFill="1" applyBorder="1" applyAlignment="1" applyProtection="1">
      <alignment horizontal="center" vertical="center"/>
      <protection locked="0"/>
    </xf>
    <xf numFmtId="0" fontId="4" fillId="4" borderId="3" xfId="2" applyFill="1" applyBorder="1" applyAlignment="1" applyProtection="1">
      <alignment horizontal="center" vertical="center"/>
      <protection locked="0"/>
    </xf>
    <xf numFmtId="0" fontId="4" fillId="4" borderId="0" xfId="2" applyFill="1" applyBorder="1" applyAlignment="1" applyProtection="1">
      <alignment horizontal="center" vertical="center" wrapText="1"/>
    </xf>
    <xf numFmtId="0" fontId="4" fillId="4" borderId="12" xfId="2" applyFill="1" applyBorder="1" applyAlignment="1" applyProtection="1">
      <alignment horizontal="center" vertical="center" wrapText="1"/>
    </xf>
    <xf numFmtId="0" fontId="4" fillId="3" borderId="3" xfId="2" applyFill="1" applyBorder="1" applyAlignment="1" applyProtection="1">
      <alignment horizontal="center" vertical="center"/>
      <protection locked="0"/>
    </xf>
    <xf numFmtId="0" fontId="4" fillId="3" borderId="0" xfId="2" applyFill="1" applyBorder="1" applyAlignment="1" applyProtection="1">
      <alignment horizontal="center" vertical="center"/>
      <protection locked="0"/>
    </xf>
    <xf numFmtId="1" fontId="4" fillId="3" borderId="12" xfId="2" applyNumberFormat="1" applyFill="1" applyBorder="1" applyAlignment="1" applyProtection="1">
      <alignment horizontal="center" vertical="center"/>
      <protection locked="0"/>
    </xf>
    <xf numFmtId="0" fontId="4" fillId="0" borderId="2" xfId="2" applyBorder="1" applyAlignment="1" applyProtection="1">
      <alignment horizontal="center" vertical="center" wrapText="1"/>
      <protection locked="0"/>
    </xf>
    <xf numFmtId="0" fontId="4" fillId="0" borderId="3"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12" xfId="2" applyBorder="1" applyAlignment="1" applyProtection="1">
      <alignment horizontal="center" vertical="center"/>
      <protection locked="0"/>
    </xf>
    <xf numFmtId="164" fontId="4" fillId="3" borderId="0" xfId="2" applyNumberFormat="1" applyFill="1" applyBorder="1" applyAlignment="1" applyProtection="1">
      <alignment horizontal="center" vertical="center"/>
    </xf>
    <xf numFmtId="0" fontId="4" fillId="0" borderId="12" xfId="2" applyBorder="1" applyAlignment="1" applyProtection="1">
      <alignment horizontal="center" vertical="center" wrapText="1"/>
      <protection locked="0"/>
    </xf>
    <xf numFmtId="4" fontId="21" fillId="0" borderId="3" xfId="0" applyNumberFormat="1" applyFont="1" applyBorder="1" applyAlignment="1">
      <alignment horizontal="center" vertical="center"/>
    </xf>
    <xf numFmtId="4" fontId="21" fillId="0" borderId="0" xfId="0" applyNumberFormat="1" applyFont="1" applyBorder="1" applyAlignment="1">
      <alignment horizontal="center" vertical="center"/>
    </xf>
    <xf numFmtId="4" fontId="23" fillId="0" borderId="0" xfId="0" applyNumberFormat="1" applyFont="1" applyBorder="1" applyAlignment="1">
      <alignment horizontal="center" vertical="center" wrapText="1"/>
    </xf>
    <xf numFmtId="0" fontId="14" fillId="0" borderId="12" xfId="2" applyFont="1" applyBorder="1" applyAlignment="1" applyProtection="1">
      <alignment horizontal="center" vertical="center"/>
    </xf>
    <xf numFmtId="0" fontId="4" fillId="3" borderId="2" xfId="2" applyFill="1" applyBorder="1" applyAlignment="1" applyProtection="1">
      <alignment horizontal="center" vertical="center"/>
    </xf>
    <xf numFmtId="0" fontId="4" fillId="0" borderId="0" xfId="2" applyBorder="1" applyAlignment="1" applyProtection="1">
      <alignment horizontal="center" vertical="center"/>
      <protection locked="0"/>
    </xf>
    <xf numFmtId="164" fontId="4" fillId="3" borderId="0" xfId="2" applyNumberFormat="1" applyFill="1" applyBorder="1" applyAlignment="1" applyProtection="1">
      <alignment horizontal="center" vertical="center"/>
      <protection locked="0"/>
    </xf>
    <xf numFmtId="0" fontId="4" fillId="0" borderId="3" xfId="2" applyBorder="1" applyAlignment="1" applyProtection="1">
      <alignment horizontal="center" vertical="center"/>
    </xf>
    <xf numFmtId="0" fontId="4" fillId="0" borderId="0" xfId="2" applyBorder="1" applyAlignment="1" applyProtection="1">
      <alignment horizontal="center" vertical="center"/>
    </xf>
    <xf numFmtId="4" fontId="24" fillId="0" borderId="0" xfId="0" applyNumberFormat="1" applyFont="1" applyBorder="1" applyAlignment="1">
      <alignment horizontal="center"/>
    </xf>
    <xf numFmtId="0" fontId="4" fillId="0" borderId="12" xfId="2" applyBorder="1" applyAlignment="1" applyProtection="1">
      <alignment horizontal="center" vertical="center"/>
    </xf>
    <xf numFmtId="0" fontId="4" fillId="3" borderId="7" xfId="2" applyFill="1" applyBorder="1" applyAlignment="1" applyProtection="1">
      <alignment horizontal="center" vertical="center"/>
      <protection locked="0"/>
    </xf>
    <xf numFmtId="0" fontId="4" fillId="4" borderId="8" xfId="2" applyFill="1" applyBorder="1" applyAlignment="1" applyProtection="1">
      <alignment horizontal="center" vertical="center"/>
      <protection locked="0"/>
    </xf>
    <xf numFmtId="0" fontId="4" fillId="4" borderId="9" xfId="2" applyFill="1" applyBorder="1" applyAlignment="1" applyProtection="1">
      <alignment horizontal="center" vertical="center"/>
      <protection locked="0"/>
    </xf>
    <xf numFmtId="0" fontId="4" fillId="4" borderId="27" xfId="2" applyFill="1" applyBorder="1" applyAlignment="1" applyProtection="1">
      <alignment horizontal="center" vertical="center"/>
      <protection locked="0"/>
    </xf>
    <xf numFmtId="0" fontId="4" fillId="3" borderId="7" xfId="2" applyFill="1" applyBorder="1" applyAlignment="1" applyProtection="1">
      <alignment horizontal="center" vertical="center"/>
    </xf>
    <xf numFmtId="0" fontId="4" fillId="3" borderId="8" xfId="2" applyFill="1" applyBorder="1" applyAlignment="1" applyProtection="1">
      <alignment horizontal="center" vertical="center"/>
      <protection locked="0"/>
    </xf>
    <xf numFmtId="0" fontId="4" fillId="3" borderId="9" xfId="2" applyFill="1" applyBorder="1" applyAlignment="1" applyProtection="1">
      <alignment horizontal="center" vertical="center"/>
      <protection locked="0"/>
    </xf>
    <xf numFmtId="1" fontId="4" fillId="3" borderId="27"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0" borderId="27" xfId="2" applyBorder="1" applyAlignment="1" applyProtection="1">
      <alignment horizontal="center" vertical="center"/>
      <protection locked="0"/>
    </xf>
    <xf numFmtId="164" fontId="4" fillId="3"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9" xfId="2" applyBorder="1" applyAlignment="1" applyProtection="1">
      <alignment horizontal="center" vertical="center"/>
    </xf>
    <xf numFmtId="0" fontId="4" fillId="0" borderId="27" xfId="2" applyBorder="1" applyAlignment="1" applyProtection="1">
      <alignment horizontal="center" vertical="center"/>
    </xf>
    <xf numFmtId="0" fontId="4" fillId="11" borderId="18" xfId="0" applyFont="1" applyFill="1" applyBorder="1" applyAlignment="1">
      <alignment horizontal="center" vertical="center"/>
    </xf>
    <xf numFmtId="14" fontId="0" fillId="11" borderId="19" xfId="0" applyNumberFormat="1" applyFill="1" applyBorder="1" applyAlignment="1">
      <alignment horizontal="center" vertical="center"/>
    </xf>
    <xf numFmtId="2" fontId="4" fillId="11" borderId="19" xfId="0" applyNumberFormat="1" applyFont="1"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4" fillId="11" borderId="19" xfId="0" applyFont="1" applyFill="1" applyBorder="1" applyAlignment="1">
      <alignment horizontal="center" vertical="center"/>
    </xf>
    <xf numFmtId="2" fontId="4" fillId="11" borderId="20" xfId="0" applyNumberFormat="1" applyFont="1" applyFill="1" applyBorder="1" applyAlignment="1">
      <alignment horizontal="center" vertical="center"/>
    </xf>
    <xf numFmtId="2" fontId="0" fillId="11" borderId="21" xfId="0" applyNumberFormat="1" applyFill="1" applyBorder="1" applyAlignment="1">
      <alignment horizontal="center" vertical="center"/>
    </xf>
    <xf numFmtId="2" fontId="4" fillId="11" borderId="21" xfId="0" applyNumberFormat="1" applyFont="1" applyFill="1" applyBorder="1" applyAlignment="1">
      <alignment horizontal="center" vertical="center"/>
    </xf>
    <xf numFmtId="0" fontId="0" fillId="11" borderId="21" xfId="0" applyFill="1" applyBorder="1" applyAlignment="1">
      <alignment horizontal="center" vertical="center"/>
    </xf>
    <xf numFmtId="2" fontId="0" fillId="11" borderId="20" xfId="0" applyNumberFormat="1" applyFill="1" applyBorder="1" applyAlignment="1">
      <alignment horizontal="center" vertical="center"/>
    </xf>
    <xf numFmtId="0" fontId="4" fillId="11" borderId="21" xfId="0" applyFont="1" applyFill="1" applyBorder="1" applyAlignment="1">
      <alignment horizontal="center" vertical="center"/>
    </xf>
    <xf numFmtId="0" fontId="0" fillId="11" borderId="0" xfId="0" applyFill="1"/>
    <xf numFmtId="0" fontId="0" fillId="11" borderId="14" xfId="0" applyFill="1" applyBorder="1" applyAlignment="1">
      <alignment horizontal="center" vertical="center"/>
    </xf>
    <xf numFmtId="14" fontId="0" fillId="11" borderId="15" xfId="0" applyNumberFormat="1" applyFill="1" applyBorder="1" applyAlignment="1">
      <alignment horizontal="center" vertical="center"/>
    </xf>
    <xf numFmtId="2" fontId="4" fillId="11" borderId="15" xfId="0" applyNumberFormat="1" applyFont="1"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4" fillId="11" borderId="15" xfId="0" applyFont="1" applyFill="1" applyBorder="1" applyAlignment="1">
      <alignment horizontal="center" vertical="center"/>
    </xf>
    <xf numFmtId="2" fontId="4" fillId="11" borderId="16" xfId="0" applyNumberFormat="1" applyFont="1" applyFill="1" applyBorder="1" applyAlignment="1">
      <alignment horizontal="center" vertical="center"/>
    </xf>
    <xf numFmtId="2" fontId="4" fillId="11" borderId="17" xfId="0" applyNumberFormat="1" applyFont="1" applyFill="1" applyBorder="1" applyAlignment="1">
      <alignment horizontal="center" vertical="center"/>
    </xf>
    <xf numFmtId="2" fontId="0" fillId="11" borderId="17" xfId="0" applyNumberFormat="1" applyFill="1" applyBorder="1" applyAlignment="1">
      <alignment horizontal="center" vertical="center"/>
    </xf>
    <xf numFmtId="0" fontId="0" fillId="11" borderId="17" xfId="0" applyFill="1" applyBorder="1" applyAlignment="1">
      <alignment horizontal="center" vertical="center"/>
    </xf>
    <xf numFmtId="2" fontId="0" fillId="11" borderId="16" xfId="0" applyNumberFormat="1" applyFill="1" applyBorder="1" applyAlignment="1">
      <alignment horizontal="center" vertical="center"/>
    </xf>
    <xf numFmtId="2" fontId="20" fillId="11" borderId="16" xfId="0" applyNumberFormat="1" applyFont="1" applyFill="1" applyBorder="1" applyAlignment="1">
      <alignment horizontal="center" vertical="center"/>
    </xf>
    <xf numFmtId="2" fontId="20" fillId="11" borderId="17" xfId="0" applyNumberFormat="1" applyFont="1" applyFill="1" applyBorder="1" applyAlignment="1">
      <alignment horizontal="center" vertical="center"/>
    </xf>
    <xf numFmtId="0" fontId="4" fillId="11" borderId="17" xfId="0" applyFont="1" applyFill="1" applyBorder="1" applyAlignment="1">
      <alignment horizontal="center" vertical="center"/>
    </xf>
    <xf numFmtId="0" fontId="4" fillId="11" borderId="16" xfId="0" applyFont="1" applyFill="1" applyBorder="1" applyAlignment="1">
      <alignment horizontal="center" vertical="center"/>
    </xf>
    <xf numFmtId="14" fontId="0" fillId="11" borderId="19" xfId="0" applyNumberFormat="1" applyFill="1" applyBorder="1" applyAlignment="1">
      <alignment horizontal="center"/>
    </xf>
    <xf numFmtId="2" fontId="0" fillId="11" borderId="19" xfId="0" applyNumberFormat="1" applyFill="1" applyBorder="1" applyAlignment="1">
      <alignment horizontal="center"/>
    </xf>
    <xf numFmtId="0" fontId="0" fillId="11" borderId="19" xfId="0" applyFill="1" applyBorder="1" applyAlignment="1">
      <alignment horizontal="center"/>
    </xf>
    <xf numFmtId="0" fontId="0" fillId="11" borderId="20" xfId="0" applyFill="1" applyBorder="1" applyAlignment="1">
      <alignment horizontal="center"/>
    </xf>
    <xf numFmtId="0" fontId="4" fillId="11" borderId="19" xfId="0" applyFont="1" applyFill="1" applyBorder="1" applyAlignment="1">
      <alignment horizontal="center"/>
    </xf>
    <xf numFmtId="2" fontId="4" fillId="11" borderId="20" xfId="0" applyNumberFormat="1" applyFont="1" applyFill="1" applyBorder="1" applyAlignment="1">
      <alignment horizontal="center"/>
    </xf>
    <xf numFmtId="0" fontId="4" fillId="11" borderId="21" xfId="0" applyFont="1" applyFill="1" applyBorder="1" applyAlignment="1">
      <alignment horizontal="center"/>
    </xf>
    <xf numFmtId="2" fontId="4" fillId="11" borderId="21" xfId="0" applyNumberFormat="1" applyFont="1" applyFill="1" applyBorder="1" applyAlignment="1">
      <alignment horizontal="center"/>
    </xf>
    <xf numFmtId="0" fontId="0" fillId="11" borderId="21" xfId="0" applyFill="1" applyBorder="1" applyAlignment="1">
      <alignment horizontal="center"/>
    </xf>
    <xf numFmtId="2" fontId="0" fillId="11" borderId="20" xfId="0" applyNumberFormat="1" applyFill="1" applyBorder="1" applyAlignment="1">
      <alignment horizontal="center"/>
    </xf>
    <xf numFmtId="2" fontId="0" fillId="11" borderId="21" xfId="0" applyNumberFormat="1" applyFill="1" applyBorder="1" applyAlignment="1">
      <alignment horizontal="center"/>
    </xf>
    <xf numFmtId="0" fontId="0" fillId="11" borderId="21" xfId="0" applyFill="1" applyBorder="1"/>
    <xf numFmtId="0" fontId="4" fillId="12" borderId="0" xfId="2" applyFont="1" applyFill="1" applyBorder="1" applyAlignment="1" applyProtection="1">
      <alignment horizontal="center" vertical="center"/>
      <protection locked="0"/>
    </xf>
    <xf numFmtId="14" fontId="25" fillId="12" borderId="0" xfId="0" applyNumberFormat="1" applyFont="1" applyFill="1" applyAlignment="1">
      <alignment horizontal="center" vertical="center"/>
    </xf>
    <xf numFmtId="0" fontId="25" fillId="12" borderId="0" xfId="0" applyFont="1" applyFill="1" applyAlignment="1">
      <alignment horizontal="center" vertical="center"/>
    </xf>
    <xf numFmtId="2" fontId="25" fillId="12" borderId="0" xfId="0" applyNumberFormat="1" applyFont="1" applyFill="1" applyAlignment="1">
      <alignment horizontal="center" vertical="center"/>
    </xf>
    <xf numFmtId="4" fontId="25" fillId="12" borderId="0" xfId="0" applyNumberFormat="1" applyFont="1" applyFill="1" applyAlignment="1">
      <alignment horizontal="center" vertical="center"/>
    </xf>
    <xf numFmtId="0" fontId="25" fillId="12" borderId="0" xfId="0" applyFont="1" applyFill="1" applyAlignment="1">
      <alignment horizontal="center" vertical="center" wrapText="1"/>
    </xf>
    <xf numFmtId="0" fontId="25" fillId="12" borderId="0" xfId="0" applyFont="1" applyFill="1" applyAlignment="1">
      <alignment horizontal="left" vertical="center"/>
    </xf>
    <xf numFmtId="0" fontId="0" fillId="13" borderId="0" xfId="0" applyFill="1"/>
    <xf numFmtId="14" fontId="0" fillId="13" borderId="0" xfId="0" applyNumberFormat="1" applyFill="1"/>
    <xf numFmtId="0" fontId="25" fillId="13" borderId="0" xfId="0" applyFont="1" applyFill="1" applyAlignment="1">
      <alignment horizontal="center" vertical="center"/>
    </xf>
    <xf numFmtId="0" fontId="26" fillId="0" borderId="5" xfId="3" applyFont="1" applyBorder="1" applyAlignment="1" applyProtection="1">
      <alignment horizontal="right"/>
    </xf>
    <xf numFmtId="0" fontId="26" fillId="0" borderId="0" xfId="2" applyFont="1" applyProtection="1"/>
    <xf numFmtId="1" fontId="28" fillId="0" borderId="5" xfId="4" applyNumberFormat="1" applyFont="1" applyBorder="1" applyAlignment="1" applyProtection="1">
      <alignment horizontal="left"/>
      <protection locked="0"/>
    </xf>
    <xf numFmtId="1" fontId="28" fillId="0" borderId="5" xfId="4" applyNumberFormat="1" applyFont="1" applyBorder="1" applyAlignment="1" applyProtection="1">
      <alignment horizontal="left"/>
    </xf>
    <xf numFmtId="165" fontId="30" fillId="0" borderId="5" xfId="5" applyFont="1" applyBorder="1"/>
    <xf numFmtId="1" fontId="26" fillId="0" borderId="5" xfId="6" applyNumberFormat="1" applyFont="1" applyBorder="1" applyAlignment="1" applyProtection="1">
      <alignment horizontal="right"/>
    </xf>
    <xf numFmtId="2" fontId="30" fillId="0" borderId="5" xfId="6" applyNumberFormat="1" applyFont="1" applyBorder="1" applyAlignment="1" applyProtection="1">
      <alignment horizontal="center"/>
      <protection locked="0"/>
    </xf>
    <xf numFmtId="165" fontId="4" fillId="0" borderId="5" xfId="5" applyFont="1" applyFill="1" applyBorder="1" applyAlignment="1" applyProtection="1">
      <alignment horizontal="left"/>
    </xf>
    <xf numFmtId="0" fontId="14" fillId="0" borderId="0" xfId="2" applyFont="1" applyProtection="1"/>
    <xf numFmtId="0" fontId="14" fillId="0" borderId="0" xfId="2" applyFont="1" applyBorder="1" applyProtection="1"/>
    <xf numFmtId="2" fontId="14" fillId="0" borderId="0" xfId="2" applyNumberFormat="1" applyFont="1" applyProtection="1"/>
    <xf numFmtId="0" fontId="26" fillId="0" borderId="0" xfId="3" applyFont="1" applyBorder="1" applyAlignment="1" applyProtection="1">
      <alignment horizontal="right"/>
    </xf>
    <xf numFmtId="1" fontId="28" fillId="0" borderId="0" xfId="4" applyNumberFormat="1" applyFont="1" applyBorder="1" applyAlignment="1" applyProtection="1">
      <alignment horizontal="left"/>
      <protection locked="0"/>
    </xf>
    <xf numFmtId="1" fontId="28" fillId="0" borderId="0" xfId="4" applyNumberFormat="1" applyFont="1" applyBorder="1" applyAlignment="1" applyProtection="1">
      <alignment horizontal="left"/>
    </xf>
    <xf numFmtId="165" fontId="30" fillId="0" borderId="0" xfId="5" applyFont="1" applyBorder="1"/>
    <xf numFmtId="1" fontId="26" fillId="0" borderId="0" xfId="6" applyNumberFormat="1" applyFont="1" applyBorder="1" applyAlignment="1" applyProtection="1">
      <alignment horizontal="right"/>
    </xf>
    <xf numFmtId="2" fontId="30" fillId="0" borderId="0" xfId="6" applyNumberFormat="1" applyFont="1" applyAlignment="1" applyProtection="1">
      <alignment horizontal="center"/>
    </xf>
    <xf numFmtId="165" fontId="30" fillId="0" borderId="0" xfId="5" applyFont="1" applyFill="1" applyBorder="1" applyAlignment="1" applyProtection="1">
      <alignment horizontal="center"/>
    </xf>
    <xf numFmtId="0" fontId="14" fillId="0" borderId="0" xfId="2" applyFont="1" applyBorder="1" applyAlignment="1" applyProtection="1">
      <alignment horizontal="left"/>
    </xf>
    <xf numFmtId="2" fontId="26" fillId="0" borderId="0" xfId="3" applyNumberFormat="1" applyFont="1" applyBorder="1" applyAlignment="1" applyProtection="1">
      <alignment horizontal="right"/>
    </xf>
    <xf numFmtId="14" fontId="26" fillId="0" borderId="0" xfId="2" applyNumberFormat="1" applyFont="1" applyBorder="1" applyProtection="1"/>
    <xf numFmtId="0" fontId="4" fillId="0" borderId="0" xfId="7" applyFont="1" applyAlignment="1" applyProtection="1">
      <alignment vertical="top"/>
    </xf>
    <xf numFmtId="0" fontId="4" fillId="0" borderId="0" xfId="7" applyFont="1" applyBorder="1" applyAlignment="1" applyProtection="1">
      <alignment vertical="top"/>
    </xf>
    <xf numFmtId="2" fontId="4" fillId="0" borderId="0" xfId="7" applyNumberFormat="1" applyFont="1" applyAlignment="1" applyProtection="1">
      <alignment vertical="top"/>
    </xf>
    <xf numFmtId="0" fontId="30" fillId="0" borderId="0" xfId="0" applyFont="1" applyFill="1" applyBorder="1" applyAlignment="1">
      <alignment horizontal="left"/>
    </xf>
    <xf numFmtId="0" fontId="31" fillId="0" borderId="0" xfId="4" applyFont="1" applyFill="1" applyBorder="1" applyAlignment="1" applyProtection="1">
      <alignment horizontal="left"/>
      <protection locked="0"/>
    </xf>
    <xf numFmtId="0" fontId="14" fillId="0" borderId="0" xfId="2" applyFont="1" applyBorder="1" applyAlignment="1" applyProtection="1">
      <alignment horizontal="center"/>
    </xf>
    <xf numFmtId="0" fontId="24" fillId="0" borderId="0" xfId="8" applyFont="1" applyAlignment="1">
      <alignment horizontal="center"/>
    </xf>
    <xf numFmtId="0" fontId="14" fillId="0" borderId="0" xfId="3" applyFont="1" applyBorder="1" applyAlignment="1" applyProtection="1"/>
    <xf numFmtId="0" fontId="14" fillId="0" borderId="0" xfId="3" applyFont="1" applyAlignment="1" applyProtection="1"/>
    <xf numFmtId="2" fontId="14" fillId="0" borderId="0" xfId="3" applyNumberFormat="1" applyFont="1" applyAlignment="1" applyProtection="1"/>
    <xf numFmtId="165" fontId="4" fillId="0" borderId="0" xfId="5" applyFont="1" applyAlignment="1" applyProtection="1">
      <alignment horizontal="center"/>
    </xf>
    <xf numFmtId="166" fontId="4" fillId="0" borderId="0" xfId="9"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14" fillId="0" borderId="0" xfId="3" applyFont="1" applyBorder="1" applyAlignment="1" applyProtection="1">
      <alignment horizontal="center"/>
    </xf>
    <xf numFmtId="14" fontId="14" fillId="0" borderId="0" xfId="3" applyNumberFormat="1" applyFont="1" applyBorder="1" applyAlignment="1" applyProtection="1">
      <alignment horizontal="centerContinuous"/>
    </xf>
    <xf numFmtId="165" fontId="4" fillId="0" borderId="9" xfId="5" applyFont="1" applyBorder="1" applyAlignment="1" applyProtection="1">
      <alignment horizontal="center"/>
    </xf>
    <xf numFmtId="166" fontId="4" fillId="0" borderId="0" xfId="9" applyFont="1" applyAlignment="1" applyProtection="1">
      <alignment horizontal="center"/>
    </xf>
    <xf numFmtId="0" fontId="4" fillId="0" borderId="4" xfId="2" applyFont="1" applyBorder="1" applyProtection="1"/>
    <xf numFmtId="0" fontId="4" fillId="0" borderId="5" xfId="2" applyFont="1" applyBorder="1" applyProtection="1"/>
    <xf numFmtId="0" fontId="4" fillId="0" borderId="2" xfId="2" applyFont="1" applyBorder="1" applyProtection="1"/>
    <xf numFmtId="0" fontId="4" fillId="0" borderId="13" xfId="2" applyFont="1" applyBorder="1" applyProtection="1"/>
    <xf numFmtId="0" fontId="14" fillId="0" borderId="4" xfId="2" applyFont="1" applyBorder="1" applyProtection="1"/>
    <xf numFmtId="0" fontId="14" fillId="0" borderId="5" xfId="2" applyFont="1" applyBorder="1" applyProtection="1"/>
    <xf numFmtId="0" fontId="14" fillId="0" borderId="13" xfId="2" applyFont="1" applyBorder="1" applyProtection="1"/>
    <xf numFmtId="0" fontId="14" fillId="0" borderId="3" xfId="3" applyFont="1" applyBorder="1" applyAlignment="1" applyProtection="1">
      <alignment horizontal="center"/>
    </xf>
    <xf numFmtId="166" fontId="14" fillId="0" borderId="0" xfId="9" applyFont="1" applyBorder="1" applyAlignment="1" applyProtection="1">
      <alignment horizontal="center"/>
    </xf>
    <xf numFmtId="0" fontId="23" fillId="0" borderId="0" xfId="10" applyFont="1" applyBorder="1" applyAlignment="1" applyProtection="1"/>
    <xf numFmtId="0" fontId="14" fillId="0" borderId="12" xfId="3" applyFont="1" applyBorder="1" applyAlignment="1" applyProtection="1">
      <alignment horizontal="center"/>
    </xf>
    <xf numFmtId="166" fontId="14" fillId="0" borderId="12" xfId="9" applyFont="1" applyBorder="1" applyAlignment="1" applyProtection="1">
      <alignment horizontal="center"/>
    </xf>
    <xf numFmtId="0" fontId="14" fillId="0" borderId="3" xfId="2" applyFont="1" applyBorder="1" applyAlignment="1" applyProtection="1">
      <alignment horizontal="left"/>
    </xf>
    <xf numFmtId="0" fontId="14" fillId="0" borderId="12" xfId="2" applyFont="1" applyBorder="1" applyAlignment="1" applyProtection="1">
      <alignment horizontal="left"/>
    </xf>
    <xf numFmtId="2" fontId="4" fillId="0" borderId="0" xfId="2" applyNumberFormat="1" applyFont="1" applyBorder="1" applyAlignment="1" applyProtection="1">
      <alignment horizontal="center"/>
    </xf>
    <xf numFmtId="0" fontId="32" fillId="0" borderId="8" xfId="3" applyFont="1" applyBorder="1" applyAlignment="1" applyProtection="1">
      <alignment horizontal="center" vertical="center"/>
    </xf>
    <xf numFmtId="0" fontId="32" fillId="0" borderId="9" xfId="3" applyFont="1" applyBorder="1" applyAlignment="1" applyProtection="1">
      <alignment horizontal="center" vertical="center"/>
    </xf>
    <xf numFmtId="166" fontId="32" fillId="0" borderId="0" xfId="9" applyFont="1" applyBorder="1" applyAlignment="1" applyProtection="1">
      <alignment horizontal="center" vertical="center"/>
    </xf>
    <xf numFmtId="0" fontId="32" fillId="0" borderId="0" xfId="3" applyFont="1" applyBorder="1" applyAlignment="1" applyProtection="1">
      <alignment horizontal="center" vertical="center"/>
    </xf>
    <xf numFmtId="0" fontId="4" fillId="0" borderId="0" xfId="3" applyFont="1" applyBorder="1" applyAlignment="1" applyProtection="1">
      <alignment horizontal="center" vertical="center"/>
    </xf>
    <xf numFmtId="166" fontId="4" fillId="0" borderId="27" xfId="9" applyFont="1" applyBorder="1" applyAlignment="1" applyProtection="1">
      <alignment horizontal="center" vertical="center"/>
    </xf>
    <xf numFmtId="166" fontId="4" fillId="0" borderId="9" xfId="9" applyFont="1" applyBorder="1" applyAlignment="1" applyProtection="1">
      <alignment horizontal="center" vertical="center"/>
    </xf>
    <xf numFmtId="0" fontId="4" fillId="0" borderId="27" xfId="3" applyFont="1" applyBorder="1" applyAlignment="1" applyProtection="1">
      <alignment horizontal="center" vertical="center"/>
    </xf>
    <xf numFmtId="0" fontId="4" fillId="0" borderId="8" xfId="2" applyFont="1" applyBorder="1" applyProtection="1"/>
    <xf numFmtId="0" fontId="4" fillId="0" borderId="9" xfId="2" applyFont="1" applyBorder="1" applyProtection="1"/>
    <xf numFmtId="20" fontId="4" fillId="0" borderId="27" xfId="2" applyNumberFormat="1" applyFont="1" applyBorder="1" applyProtection="1"/>
    <xf numFmtId="1" fontId="4" fillId="0" borderId="0" xfId="5" applyNumberFormat="1" applyFont="1" applyAlignment="1" applyProtection="1">
      <alignment horizontal="center"/>
    </xf>
    <xf numFmtId="2" fontId="4" fillId="0" borderId="5" xfId="5" applyNumberFormat="1" applyFont="1" applyBorder="1" applyAlignment="1" applyProtection="1">
      <alignment horizontal="center"/>
    </xf>
    <xf numFmtId="2" fontId="4" fillId="0" borderId="5" xfId="2" applyNumberFormat="1" applyFont="1" applyBorder="1" applyAlignment="1" applyProtection="1">
      <alignment horizontal="center"/>
    </xf>
    <xf numFmtId="20" fontId="4" fillId="0" borderId="0" xfId="2" applyNumberFormat="1" applyFont="1" applyProtection="1"/>
    <xf numFmtId="2" fontId="4" fillId="0" borderId="0" xfId="5"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167" fontId="4" fillId="0" borderId="0" xfId="5" applyNumberFormat="1" applyFont="1" applyAlignment="1" applyProtection="1">
      <alignment horizontal="center"/>
    </xf>
    <xf numFmtId="0" fontId="4" fillId="0" borderId="0" xfId="2" applyAlignment="1" applyProtection="1"/>
    <xf numFmtId="0" fontId="14" fillId="0" borderId="0" xfId="3" applyFont="1" applyBorder="1" applyAlignment="1" applyProtection="1">
      <alignment vertical="center"/>
    </xf>
    <xf numFmtId="0" fontId="4" fillId="0" borderId="0" xfId="2" applyBorder="1" applyAlignment="1" applyProtection="1">
      <alignment vertical="center"/>
    </xf>
    <xf numFmtId="0" fontId="33" fillId="0" borderId="0" xfId="0" applyFont="1"/>
    <xf numFmtId="0" fontId="4" fillId="0" borderId="0" xfId="2" applyFont="1" applyAlignment="1" applyProtection="1">
      <alignment vertical="center" wrapText="1"/>
    </xf>
    <xf numFmtId="0" fontId="4" fillId="0" borderId="0" xfId="2" applyAlignment="1" applyProtection="1">
      <alignment vertical="center" wrapText="1"/>
    </xf>
    <xf numFmtId="0" fontId="4" fillId="0" borderId="0" xfId="2" applyFont="1" applyAlignment="1" applyProtection="1">
      <alignment vertical="center"/>
    </xf>
    <xf numFmtId="165" fontId="4" fillId="0" borderId="0" xfId="5"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2" fontId="0" fillId="13" borderId="0" xfId="0" applyNumberFormat="1" applyFill="1"/>
    <xf numFmtId="0" fontId="0" fillId="13" borderId="0" xfId="0" applyFill="1" applyAlignment="1">
      <alignment horizontal="center"/>
    </xf>
    <xf numFmtId="0" fontId="4" fillId="12" borderId="0" xfId="2" applyFill="1" applyBorder="1" applyAlignment="1" applyProtection="1">
      <alignment horizontal="center" vertical="center"/>
      <protection locked="0"/>
    </xf>
    <xf numFmtId="14" fontId="0" fillId="12" borderId="0" xfId="0" applyNumberFormat="1" applyFill="1"/>
    <xf numFmtId="0" fontId="0" fillId="12" borderId="0" xfId="0" applyFill="1"/>
    <xf numFmtId="0" fontId="34" fillId="0" borderId="4" xfId="3" applyFont="1" applyBorder="1" applyAlignment="1" applyProtection="1">
      <alignment horizontal="centerContinuous"/>
    </xf>
    <xf numFmtId="1" fontId="35" fillId="0" borderId="13" xfId="4" applyNumberFormat="1" applyFont="1" applyBorder="1" applyAlignment="1" applyProtection="1">
      <alignment horizontal="centerContinuous"/>
    </xf>
    <xf numFmtId="1" fontId="35" fillId="0" borderId="5" xfId="4" applyNumberFormat="1" applyFont="1" applyBorder="1" applyAlignment="1" applyProtection="1">
      <alignment horizontal="centerContinuous"/>
      <protection locked="0"/>
    </xf>
    <xf numFmtId="1" fontId="35" fillId="0" borderId="13" xfId="4" applyNumberFormat="1" applyFont="1" applyBorder="1" applyAlignment="1" applyProtection="1">
      <alignment horizontal="centerContinuous"/>
      <protection locked="0"/>
    </xf>
    <xf numFmtId="1" fontId="34" fillId="0" borderId="4" xfId="4" applyNumberFormat="1" applyFont="1" applyBorder="1" applyAlignment="1" applyProtection="1">
      <alignment horizontal="centerContinuous"/>
    </xf>
    <xf numFmtId="2" fontId="34" fillId="0" borderId="4" xfId="5" applyNumberFormat="1" applyFont="1" applyBorder="1" applyAlignment="1" applyProtection="1">
      <alignment horizontal="centerContinuous"/>
    </xf>
    <xf numFmtId="2" fontId="34" fillId="0" borderId="13" xfId="5" applyNumberFormat="1" applyFont="1" applyBorder="1" applyAlignment="1" applyProtection="1">
      <alignment horizontal="centerContinuous"/>
    </xf>
    <xf numFmtId="165" fontId="34" fillId="0" borderId="5" xfId="5" applyFont="1" applyBorder="1" applyAlignment="1" applyProtection="1">
      <alignment horizontal="centerContinuous"/>
    </xf>
    <xf numFmtId="0" fontId="36" fillId="0" borderId="2" xfId="2" applyFont="1" applyBorder="1" applyAlignment="1" applyProtection="1">
      <alignment horizontal="right"/>
    </xf>
    <xf numFmtId="0" fontId="34" fillId="0" borderId="3" xfId="3" applyFont="1" applyBorder="1" applyAlignment="1" applyProtection="1">
      <alignment horizontal="centerContinuous"/>
    </xf>
    <xf numFmtId="0" fontId="14" fillId="0" borderId="0" xfId="3" applyFont="1" applyBorder="1" applyAlignment="1" applyProtection="1">
      <alignment horizontal="centerContinuous"/>
    </xf>
    <xf numFmtId="1" fontId="14" fillId="0" borderId="0" xfId="3" applyNumberFormat="1" applyFont="1" applyBorder="1" applyAlignment="1" applyProtection="1">
      <alignment horizontal="centerContinuous"/>
    </xf>
    <xf numFmtId="1" fontId="14" fillId="0" borderId="12" xfId="3" applyNumberFormat="1" applyFont="1" applyBorder="1" applyAlignment="1" applyProtection="1">
      <alignment horizontal="centerContinuous"/>
    </xf>
    <xf numFmtId="1" fontId="14" fillId="0" borderId="3" xfId="3" applyNumberFormat="1" applyFont="1" applyBorder="1" applyAlignment="1" applyProtection="1">
      <alignment horizontal="centerContinuous"/>
    </xf>
    <xf numFmtId="165" fontId="14" fillId="0" borderId="3" xfId="5" applyFont="1" applyBorder="1" applyAlignment="1" applyProtection="1">
      <alignment horizontal="center"/>
    </xf>
    <xf numFmtId="2" fontId="14" fillId="0" borderId="12" xfId="5" applyNumberFormat="1" applyFont="1" applyBorder="1" applyAlignment="1" applyProtection="1">
      <alignment horizontal="center"/>
    </xf>
    <xf numFmtId="165" fontId="14" fillId="0" borderId="0" xfId="5" applyFont="1" applyBorder="1" applyAlignment="1" applyProtection="1">
      <alignment horizontal="center"/>
    </xf>
    <xf numFmtId="0" fontId="36" fillId="0" borderId="2" xfId="3" applyFont="1" applyBorder="1" applyAlignment="1" applyProtection="1">
      <alignment horizontal="right"/>
    </xf>
    <xf numFmtId="0" fontId="14" fillId="0" borderId="12" xfId="3" applyFont="1" applyBorder="1" applyAlignment="1" applyProtection="1"/>
    <xf numFmtId="1" fontId="14" fillId="0" borderId="0" xfId="3" applyNumberFormat="1" applyFont="1" applyBorder="1" applyAlignment="1" applyProtection="1"/>
    <xf numFmtId="1" fontId="14" fillId="0" borderId="12" xfId="3" applyNumberFormat="1" applyFont="1" applyBorder="1" applyAlignment="1" applyProtection="1"/>
    <xf numFmtId="14" fontId="14" fillId="0" borderId="12" xfId="3" applyNumberFormat="1" applyFont="1" applyBorder="1" applyAlignment="1" applyProtection="1">
      <alignment horizontal="centerContinuous"/>
    </xf>
    <xf numFmtId="166" fontId="14" fillId="0" borderId="3" xfId="9" applyFont="1" applyBorder="1" applyAlignment="1" applyProtection="1">
      <alignment horizontal="center"/>
    </xf>
    <xf numFmtId="0" fontId="14" fillId="0" borderId="2" xfId="3" applyFont="1" applyBorder="1" applyAlignment="1" applyProtection="1">
      <alignment horizontal="center" vertical="center"/>
    </xf>
    <xf numFmtId="0" fontId="4" fillId="0" borderId="8" xfId="3" applyFont="1" applyBorder="1" applyAlignment="1" applyProtection="1">
      <alignment horizontal="center" vertical="center"/>
    </xf>
    <xf numFmtId="0" fontId="4" fillId="0" borderId="9" xfId="3" applyFont="1" applyBorder="1" applyAlignment="1" applyProtection="1">
      <alignment horizontal="center" vertical="center"/>
    </xf>
    <xf numFmtId="166" fontId="4" fillId="0" borderId="8" xfId="9" applyFont="1" applyBorder="1" applyAlignment="1" applyProtection="1">
      <alignment horizontal="center" vertical="center"/>
    </xf>
    <xf numFmtId="165" fontId="4" fillId="0" borderId="8" xfId="5" applyFont="1" applyBorder="1" applyAlignment="1" applyProtection="1">
      <alignment horizontal="center" vertical="center"/>
    </xf>
    <xf numFmtId="2" fontId="4" fillId="0" borderId="27" xfId="5" applyNumberFormat="1" applyFont="1" applyBorder="1" applyAlignment="1" applyProtection="1">
      <alignment horizontal="center" vertical="center"/>
    </xf>
    <xf numFmtId="165" fontId="4" fillId="0" borderId="9" xfId="5" applyFont="1" applyBorder="1" applyAlignment="1" applyProtection="1">
      <alignment horizontal="center" vertical="center"/>
    </xf>
    <xf numFmtId="0" fontId="4" fillId="0" borderId="7" xfId="2" applyFont="1" applyBorder="1" applyAlignment="1" applyProtection="1">
      <alignment vertical="center" wrapText="1"/>
    </xf>
    <xf numFmtId="0" fontId="14" fillId="0" borderId="27" xfId="3" applyFont="1" applyBorder="1" applyAlignment="1" applyProtection="1">
      <alignment horizontal="center" vertical="center" wrapText="1"/>
    </xf>
    <xf numFmtId="0" fontId="4" fillId="0" borderId="0" xfId="4" applyFont="1" applyBorder="1" applyAlignment="1" applyProtection="1">
      <alignment horizontal="center" vertical="center" wrapText="1"/>
      <protection locked="0"/>
    </xf>
    <xf numFmtId="166" fontId="4" fillId="0" borderId="0" xfId="9" applyFont="1" applyBorder="1" applyAlignment="1" applyProtection="1">
      <alignment horizontal="center" vertical="center" wrapText="1"/>
      <protection locked="0"/>
    </xf>
    <xf numFmtId="166" fontId="4" fillId="0" borderId="12" xfId="9" applyFont="1" applyBorder="1" applyAlignment="1" applyProtection="1">
      <alignment horizontal="center" vertical="center" wrapText="1"/>
      <protection locked="0"/>
    </xf>
    <xf numFmtId="166" fontId="4" fillId="0" borderId="3" xfId="7" applyNumberFormat="1" applyFont="1" applyBorder="1" applyAlignment="1" applyProtection="1">
      <alignment horizontal="center" vertical="center" wrapText="1"/>
    </xf>
    <xf numFmtId="166" fontId="4" fillId="0" borderId="12" xfId="7" applyNumberFormat="1" applyFont="1" applyBorder="1" applyAlignment="1" applyProtection="1">
      <alignment horizontal="center" vertical="center" wrapText="1"/>
    </xf>
    <xf numFmtId="2" fontId="38" fillId="0" borderId="3" xfId="5" applyNumberFormat="1" applyFont="1" applyBorder="1" applyAlignment="1" applyProtection="1">
      <alignment horizontal="center" vertical="center" wrapText="1"/>
    </xf>
    <xf numFmtId="165" fontId="4" fillId="0" borderId="0" xfId="5" applyNumberFormat="1" applyFont="1" applyBorder="1" applyAlignment="1" applyProtection="1">
      <alignment horizontal="center" vertical="center" wrapText="1"/>
    </xf>
    <xf numFmtId="165" fontId="4" fillId="0" borderId="3" xfId="5" applyNumberFormat="1" applyFont="1" applyBorder="1" applyAlignment="1" applyProtection="1">
      <alignment horizontal="center" vertical="center" wrapText="1"/>
    </xf>
    <xf numFmtId="2" fontId="4" fillId="0" borderId="12" xfId="7" applyNumberFormat="1" applyFont="1" applyBorder="1" applyAlignment="1" applyProtection="1">
      <alignment horizontal="center" vertical="center" wrapText="1"/>
    </xf>
    <xf numFmtId="0" fontId="27" fillId="0" borderId="12" xfId="2" applyFont="1" applyBorder="1" applyAlignment="1" applyProtection="1">
      <alignment horizontal="left" vertical="center" wrapText="1"/>
      <protection locked="0"/>
    </xf>
    <xf numFmtId="1" fontId="4" fillId="0" borderId="0" xfId="2" applyNumberFormat="1" applyFont="1" applyAlignment="1" applyProtection="1"/>
    <xf numFmtId="0" fontId="4" fillId="0" borderId="3" xfId="4" applyFont="1" applyFill="1" applyBorder="1" applyAlignment="1" applyProtection="1">
      <alignment horizontal="center" vertical="center" wrapText="1"/>
      <protection locked="0"/>
    </xf>
    <xf numFmtId="0" fontId="4" fillId="0" borderId="0" xfId="3" applyFont="1" applyBorder="1" applyAlignment="1" applyProtection="1"/>
    <xf numFmtId="0" fontId="4" fillId="0" borderId="0" xfId="3" applyFont="1" applyAlignment="1" applyProtection="1"/>
    <xf numFmtId="0" fontId="4" fillId="0" borderId="0" xfId="3" applyFont="1" applyBorder="1" applyAlignment="1" applyProtection="1">
      <alignment vertical="center"/>
    </xf>
    <xf numFmtId="168" fontId="4" fillId="0" borderId="12" xfId="7" applyNumberFormat="1" applyFont="1" applyBorder="1" applyAlignment="1" applyProtection="1">
      <alignment horizontal="left" vertical="center" wrapText="1"/>
      <protection locked="0"/>
    </xf>
    <xf numFmtId="0" fontId="38" fillId="0" borderId="28" xfId="11" applyNumberFormat="1" applyFont="1" applyBorder="1" applyAlignment="1" applyProtection="1">
      <alignment horizontal="center" vertical="center" wrapText="1"/>
      <protection locked="0"/>
    </xf>
    <xf numFmtId="166" fontId="4" fillId="0" borderId="12" xfId="12" applyNumberFormat="1" applyFont="1" applyBorder="1" applyAlignment="1">
      <alignment horizontal="center" vertical="center" wrapText="1"/>
    </xf>
    <xf numFmtId="0" fontId="4" fillId="0" borderId="12" xfId="2" applyFont="1" applyBorder="1" applyAlignment="1" applyProtection="1">
      <alignment horizontal="left" vertical="center" wrapText="1"/>
      <protection locked="0"/>
    </xf>
    <xf numFmtId="166" fontId="4" fillId="0" borderId="12" xfId="12" applyNumberFormat="1" applyFont="1" applyBorder="1" applyAlignment="1">
      <alignment horizontal="center" vertical="center"/>
    </xf>
    <xf numFmtId="0" fontId="39" fillId="0" borderId="12" xfId="2" applyFont="1" applyBorder="1" applyAlignment="1" applyProtection="1">
      <alignment horizontal="left" vertical="center"/>
      <protection locked="0"/>
    </xf>
    <xf numFmtId="166" fontId="4" fillId="0" borderId="12" xfId="2" applyNumberFormat="1" applyFont="1" applyBorder="1" applyAlignment="1" applyProtection="1">
      <alignment horizontal="center" vertical="center"/>
    </xf>
    <xf numFmtId="0" fontId="40" fillId="2" borderId="3" xfId="1" applyFont="1" applyBorder="1" applyAlignment="1" applyProtection="1">
      <alignment horizontal="center" vertical="center" wrapText="1"/>
      <protection locked="0"/>
    </xf>
    <xf numFmtId="0" fontId="40" fillId="2" borderId="0" xfId="1" applyFont="1" applyBorder="1" applyAlignment="1" applyProtection="1">
      <alignment horizontal="center" vertical="center" wrapText="1"/>
      <protection locked="0"/>
    </xf>
    <xf numFmtId="166" fontId="40" fillId="2" borderId="0" xfId="1" applyNumberFormat="1" applyFont="1" applyBorder="1" applyAlignment="1" applyProtection="1">
      <alignment horizontal="center" vertical="center" wrapText="1"/>
      <protection locked="0"/>
    </xf>
    <xf numFmtId="166" fontId="40" fillId="2" borderId="12" xfId="1" applyNumberFormat="1" applyFont="1" applyBorder="1" applyAlignment="1" applyProtection="1">
      <alignment horizontal="center" vertical="center" wrapText="1"/>
      <protection locked="0"/>
    </xf>
    <xf numFmtId="166" fontId="40" fillId="2" borderId="3" xfId="1" applyNumberFormat="1" applyFont="1" applyBorder="1" applyAlignment="1" applyProtection="1">
      <alignment horizontal="center" vertical="center" wrapText="1"/>
    </xf>
    <xf numFmtId="166" fontId="40" fillId="2" borderId="12" xfId="1" applyNumberFormat="1" applyFont="1" applyBorder="1" applyAlignment="1" applyProtection="1">
      <alignment horizontal="center" vertical="center" wrapText="1"/>
    </xf>
    <xf numFmtId="2" fontId="40" fillId="2" borderId="3" xfId="1" applyNumberFormat="1" applyFont="1" applyBorder="1" applyAlignment="1" applyProtection="1">
      <alignment horizontal="center" vertical="center" wrapText="1"/>
    </xf>
    <xf numFmtId="165" fontId="40" fillId="2" borderId="0" xfId="1" applyNumberFormat="1" applyFont="1" applyBorder="1" applyAlignment="1" applyProtection="1">
      <alignment horizontal="center" vertical="center" wrapText="1"/>
    </xf>
    <xf numFmtId="165" fontId="40" fillId="2" borderId="3" xfId="1" applyNumberFormat="1" applyFont="1" applyBorder="1" applyAlignment="1" applyProtection="1">
      <alignment horizontal="center" vertical="center" wrapText="1"/>
    </xf>
    <xf numFmtId="2" fontId="40" fillId="2" borderId="12" xfId="1" applyNumberFormat="1" applyFont="1" applyBorder="1" applyAlignment="1" applyProtection="1">
      <alignment horizontal="center" vertical="center" wrapText="1"/>
    </xf>
    <xf numFmtId="0" fontId="40" fillId="2" borderId="12" xfId="1" applyFont="1" applyBorder="1" applyAlignment="1" applyProtection="1">
      <alignment horizontal="left" vertical="center" wrapText="1"/>
      <protection locked="0"/>
    </xf>
    <xf numFmtId="2" fontId="0" fillId="12" borderId="0" xfId="0" applyNumberFormat="1" applyFill="1"/>
    <xf numFmtId="167" fontId="0" fillId="12" borderId="0" xfId="0" applyNumberFormat="1" applyFill="1"/>
    <xf numFmtId="4" fontId="26" fillId="11" borderId="5" xfId="0" applyNumberFormat="1" applyFont="1" applyFill="1" applyBorder="1" applyAlignment="1">
      <alignment horizontal="center"/>
    </xf>
    <xf numFmtId="0" fontId="26" fillId="11" borderId="5" xfId="0" applyFont="1" applyFill="1" applyBorder="1"/>
    <xf numFmtId="4" fontId="26" fillId="11" borderId="13" xfId="0" applyNumberFormat="1" applyFont="1" applyFill="1" applyBorder="1" applyAlignment="1">
      <alignment horizontal="center"/>
    </xf>
    <xf numFmtId="0" fontId="43" fillId="14" borderId="32" xfId="0" applyFont="1" applyFill="1" applyBorder="1"/>
    <xf numFmtId="0" fontId="43" fillId="14" borderId="32" xfId="0" applyFont="1" applyFill="1" applyBorder="1" applyAlignment="1">
      <alignment wrapText="1"/>
    </xf>
    <xf numFmtId="169" fontId="43" fillId="14" borderId="32" xfId="0" applyNumberFormat="1" applyFont="1" applyFill="1" applyBorder="1"/>
    <xf numFmtId="0" fontId="43" fillId="14" borderId="32" xfId="0" applyFont="1" applyFill="1" applyBorder="1" applyAlignment="1">
      <alignment horizontal="center"/>
    </xf>
    <xf numFmtId="169" fontId="26" fillId="11" borderId="32" xfId="0" applyNumberFormat="1" applyFont="1" applyFill="1" applyBorder="1"/>
    <xf numFmtId="14" fontId="43" fillId="14" borderId="33" xfId="0" applyNumberFormat="1" applyFont="1" applyFill="1" applyBorder="1"/>
    <xf numFmtId="0" fontId="44" fillId="14" borderId="3" xfId="0" applyFont="1" applyFill="1" applyBorder="1"/>
    <xf numFmtId="0" fontId="45" fillId="14" borderId="28" xfId="0" applyFont="1" applyFill="1" applyBorder="1" applyAlignment="1">
      <alignment horizontal="right"/>
    </xf>
    <xf numFmtId="2" fontId="44" fillId="14" borderId="0" xfId="0" applyNumberFormat="1" applyFont="1" applyFill="1" applyBorder="1"/>
    <xf numFmtId="2" fontId="45" fillId="14" borderId="0" xfId="0" applyNumberFormat="1" applyFont="1" applyFill="1" applyBorder="1"/>
    <xf numFmtId="0" fontId="44" fillId="14" borderId="0" xfId="0" applyFont="1" applyFill="1" applyBorder="1"/>
    <xf numFmtId="0" fontId="0" fillId="11" borderId="0" xfId="0" applyFill="1" applyBorder="1"/>
    <xf numFmtId="0" fontId="44" fillId="14" borderId="12" xfId="0" applyFont="1" applyFill="1" applyBorder="1"/>
    <xf numFmtId="0" fontId="46" fillId="11" borderId="28" xfId="0" applyFont="1" applyFill="1" applyBorder="1" applyAlignment="1">
      <alignment horizontal="right"/>
    </xf>
    <xf numFmtId="0" fontId="25" fillId="11" borderId="28" xfId="0" applyFont="1" applyFill="1" applyBorder="1" applyAlignment="1">
      <alignment horizontal="right"/>
    </xf>
    <xf numFmtId="0" fontId="44" fillId="14" borderId="8" xfId="0" applyFont="1" applyFill="1" applyBorder="1"/>
    <xf numFmtId="0" fontId="25" fillId="11" borderId="34" xfId="0" applyFont="1" applyFill="1" applyBorder="1" applyAlignment="1">
      <alignment horizontal="right"/>
    </xf>
    <xf numFmtId="2" fontId="44" fillId="14" borderId="9" xfId="0" applyNumberFormat="1" applyFont="1" applyFill="1" applyBorder="1"/>
    <xf numFmtId="0" fontId="44" fillId="14" borderId="9" xfId="0" applyFont="1" applyFill="1" applyBorder="1"/>
    <xf numFmtId="4" fontId="44" fillId="14" borderId="9" xfId="0" applyNumberFormat="1" applyFont="1" applyFill="1" applyBorder="1"/>
    <xf numFmtId="0" fontId="44" fillId="14" borderId="27" xfId="0" applyFont="1" applyFill="1" applyBorder="1"/>
    <xf numFmtId="0" fontId="41" fillId="14" borderId="4" xfId="0" applyFont="1" applyFill="1" applyBorder="1" applyAlignment="1">
      <alignment vertical="center"/>
    </xf>
    <xf numFmtId="0" fontId="41" fillId="14" borderId="29" xfId="0" applyFont="1" applyFill="1" applyBorder="1" applyAlignment="1">
      <alignment vertical="center"/>
    </xf>
    <xf numFmtId="0" fontId="41" fillId="14" borderId="31" xfId="0" applyFont="1" applyFill="1" applyBorder="1" applyAlignment="1">
      <alignment vertical="center"/>
    </xf>
    <xf numFmtId="0" fontId="41" fillId="14" borderId="16" xfId="0" applyFont="1" applyFill="1" applyBorder="1" applyAlignment="1">
      <alignment vertical="center"/>
    </xf>
    <xf numFmtId="0" fontId="4" fillId="15" borderId="18" xfId="0" applyFont="1" applyFill="1" applyBorder="1" applyAlignment="1">
      <alignment horizontal="center" vertical="center"/>
    </xf>
    <xf numFmtId="14" fontId="0" fillId="15" borderId="19" xfId="0" applyNumberFormat="1" applyFill="1" applyBorder="1" applyAlignment="1">
      <alignment horizontal="center"/>
    </xf>
    <xf numFmtId="2" fontId="0" fillId="15" borderId="19" xfId="0" applyNumberFormat="1" applyFill="1" applyBorder="1" applyAlignment="1">
      <alignment horizontal="center"/>
    </xf>
    <xf numFmtId="0" fontId="0" fillId="15" borderId="19" xfId="0" applyFill="1" applyBorder="1" applyAlignment="1">
      <alignment horizontal="center"/>
    </xf>
    <xf numFmtId="0" fontId="0" fillId="15" borderId="20" xfId="0" applyFill="1" applyBorder="1" applyAlignment="1">
      <alignment horizontal="center"/>
    </xf>
    <xf numFmtId="0" fontId="4" fillId="15" borderId="19" xfId="0" applyFont="1" applyFill="1" applyBorder="1" applyAlignment="1">
      <alignment horizontal="center"/>
    </xf>
    <xf numFmtId="2" fontId="4" fillId="15" borderId="20" xfId="0" applyNumberFormat="1" applyFont="1" applyFill="1" applyBorder="1" applyAlignment="1">
      <alignment horizontal="center"/>
    </xf>
    <xf numFmtId="0" fontId="4" fillId="15" borderId="21" xfId="0" applyFont="1" applyFill="1" applyBorder="1" applyAlignment="1">
      <alignment horizontal="center"/>
    </xf>
    <xf numFmtId="2" fontId="4" fillId="15" borderId="21" xfId="0" applyNumberFormat="1" applyFont="1" applyFill="1" applyBorder="1" applyAlignment="1">
      <alignment horizontal="center"/>
    </xf>
    <xf numFmtId="0" fontId="0" fillId="15" borderId="21" xfId="0" applyFill="1" applyBorder="1" applyAlignment="1">
      <alignment horizontal="center"/>
    </xf>
    <xf numFmtId="2" fontId="0" fillId="15" borderId="20" xfId="0" applyNumberFormat="1" applyFill="1" applyBorder="1" applyAlignment="1">
      <alignment horizontal="center"/>
    </xf>
    <xf numFmtId="2" fontId="4" fillId="15" borderId="21" xfId="0" applyNumberFormat="1" applyFont="1" applyFill="1" applyBorder="1" applyAlignment="1">
      <alignment horizontal="center" vertical="center"/>
    </xf>
    <xf numFmtId="2" fontId="0" fillId="15" borderId="21" xfId="0" applyNumberFormat="1" applyFill="1" applyBorder="1" applyAlignment="1">
      <alignment horizontal="center"/>
    </xf>
    <xf numFmtId="0" fontId="0" fillId="15" borderId="21" xfId="0" applyFill="1" applyBorder="1"/>
    <xf numFmtId="2" fontId="0" fillId="15" borderId="21" xfId="0" applyNumberFormat="1" applyFill="1" applyBorder="1" applyAlignment="1">
      <alignment horizontal="center" vertical="center"/>
    </xf>
    <xf numFmtId="0" fontId="0" fillId="15" borderId="0" xfId="0" applyFill="1"/>
    <xf numFmtId="0" fontId="4" fillId="11" borderId="14" xfId="0" applyFont="1" applyFill="1" applyBorder="1" applyAlignment="1">
      <alignment horizontal="center" vertical="center"/>
    </xf>
    <xf numFmtId="14" fontId="0" fillId="11" borderId="15" xfId="0" applyNumberFormat="1" applyFill="1" applyBorder="1" applyAlignment="1">
      <alignment horizontal="center"/>
    </xf>
    <xf numFmtId="2" fontId="0" fillId="11" borderId="15" xfId="0" applyNumberFormat="1"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4" fillId="11" borderId="15" xfId="0" applyFont="1" applyFill="1" applyBorder="1" applyAlignment="1">
      <alignment horizontal="center"/>
    </xf>
    <xf numFmtId="2" fontId="4" fillId="11" borderId="16" xfId="0" applyNumberFormat="1" applyFont="1" applyFill="1" applyBorder="1" applyAlignment="1">
      <alignment horizontal="center"/>
    </xf>
    <xf numFmtId="0" fontId="4" fillId="11" borderId="17" xfId="0" applyFont="1" applyFill="1" applyBorder="1" applyAlignment="1">
      <alignment horizontal="center"/>
    </xf>
    <xf numFmtId="2" fontId="4" fillId="11" borderId="17" xfId="0" applyNumberFormat="1" applyFont="1" applyFill="1" applyBorder="1" applyAlignment="1">
      <alignment horizontal="center"/>
    </xf>
    <xf numFmtId="0" fontId="0" fillId="11" borderId="17" xfId="0" applyFill="1" applyBorder="1" applyAlignment="1">
      <alignment horizontal="center"/>
    </xf>
    <xf numFmtId="2" fontId="0" fillId="11" borderId="16" xfId="0" applyNumberFormat="1" applyFill="1" applyBorder="1" applyAlignment="1">
      <alignment horizontal="center"/>
    </xf>
    <xf numFmtId="2" fontId="0" fillId="11" borderId="17" xfId="0" applyNumberFormat="1" applyFill="1" applyBorder="1" applyAlignment="1">
      <alignment horizontal="center"/>
    </xf>
    <xf numFmtId="0" fontId="0" fillId="11" borderId="17" xfId="0" applyFill="1" applyBorder="1"/>
    <xf numFmtId="0" fontId="4" fillId="11" borderId="16" xfId="0" applyFont="1" applyFill="1" applyBorder="1" applyAlignment="1">
      <alignment horizontal="center"/>
    </xf>
    <xf numFmtId="0" fontId="25" fillId="12" borderId="0" xfId="0" applyFont="1" applyFill="1"/>
    <xf numFmtId="14" fontId="25" fillId="12" borderId="0" xfId="0" applyNumberFormat="1" applyFont="1" applyFill="1"/>
    <xf numFmtId="0" fontId="25" fillId="12" borderId="0" xfId="0" applyFont="1" applyFill="1" applyAlignment="1">
      <alignment horizontal="center"/>
    </xf>
    <xf numFmtId="0" fontId="47" fillId="12" borderId="35" xfId="0" applyFont="1" applyFill="1" applyBorder="1" applyAlignment="1">
      <alignment horizontal="center"/>
    </xf>
    <xf numFmtId="2" fontId="25" fillId="12" borderId="0" xfId="0" applyNumberFormat="1" applyFont="1" applyFill="1"/>
    <xf numFmtId="0" fontId="49" fillId="0" borderId="0" xfId="0" applyFont="1" applyFill="1"/>
    <xf numFmtId="14" fontId="0" fillId="0" borderId="0" xfId="0" applyNumberFormat="1"/>
    <xf numFmtId="0" fontId="4" fillId="0" borderId="0" xfId="2" applyFont="1" applyFill="1" applyBorder="1" applyAlignment="1" applyProtection="1">
      <alignment horizontal="left" vertical="center"/>
      <protection locked="0"/>
    </xf>
    <xf numFmtId="0" fontId="50" fillId="12" borderId="0" xfId="0" applyFont="1" applyFill="1"/>
    <xf numFmtId="14" fontId="50" fillId="12" borderId="0" xfId="0" applyNumberFormat="1" applyFont="1" applyFill="1"/>
    <xf numFmtId="2" fontId="50" fillId="12" borderId="0" xfId="0" applyNumberFormat="1" applyFont="1" applyFill="1"/>
    <xf numFmtId="169" fontId="26" fillId="11" borderId="32" xfId="0" applyNumberFormat="1" applyFont="1" applyFill="1" applyBorder="1" applyAlignment="1">
      <alignment wrapText="1"/>
    </xf>
    <xf numFmtId="0" fontId="42" fillId="11" borderId="30" xfId="0" applyFont="1" applyFill="1" applyBorder="1" applyAlignment="1"/>
    <xf numFmtId="0" fontId="42" fillId="11" borderId="5" xfId="0" applyFont="1" applyFill="1" applyBorder="1" applyAlignment="1"/>
    <xf numFmtId="0" fontId="6" fillId="3" borderId="2" xfId="0" applyFont="1" applyFill="1" applyBorder="1" applyAlignment="1">
      <alignment horizontal="center"/>
    </xf>
    <xf numFmtId="164" fontId="6" fillId="3" borderId="9" xfId="0" applyNumberFormat="1" applyFont="1" applyFill="1" applyBorder="1" applyAlignment="1" applyProtection="1">
      <alignment horizontal="center"/>
      <protection locked="0"/>
    </xf>
    <xf numFmtId="14" fontId="25" fillId="12" borderId="0" xfId="0" applyNumberFormat="1" applyFont="1" applyFill="1" applyAlignment="1">
      <alignment horizontal="center"/>
    </xf>
    <xf numFmtId="0" fontId="6" fillId="4" borderId="4" xfId="0" applyFont="1" applyFill="1" applyBorder="1" applyAlignment="1" applyProtection="1">
      <protection locked="0"/>
    </xf>
    <xf numFmtId="0" fontId="6" fillId="4" borderId="5" xfId="0" applyFont="1" applyFill="1" applyBorder="1" applyAlignment="1" applyProtection="1">
      <protection locked="0"/>
    </xf>
    <xf numFmtId="0" fontId="6" fillId="4" borderId="13" xfId="0" applyFont="1" applyFill="1" applyBorder="1" applyAlignment="1" applyProtection="1">
      <protection locked="0"/>
    </xf>
    <xf numFmtId="0" fontId="4" fillId="16" borderId="18" xfId="0" applyFont="1" applyFill="1" applyBorder="1" applyAlignment="1">
      <alignment horizontal="center" vertical="center"/>
    </xf>
    <xf numFmtId="14" fontId="0" fillId="16" borderId="19" xfId="0" applyNumberFormat="1" applyFill="1" applyBorder="1" applyAlignment="1">
      <alignment horizontal="center" vertical="center"/>
    </xf>
    <xf numFmtId="2" fontId="4" fillId="16" borderId="19" xfId="0" applyNumberFormat="1" applyFont="1" applyFill="1" applyBorder="1" applyAlignment="1">
      <alignment horizontal="center" vertical="center"/>
    </xf>
    <xf numFmtId="0" fontId="0" fillId="16" borderId="19" xfId="0" applyFill="1" applyBorder="1" applyAlignment="1">
      <alignment horizontal="center" vertical="center"/>
    </xf>
    <xf numFmtId="0" fontId="0" fillId="16" borderId="20" xfId="0" applyFill="1" applyBorder="1" applyAlignment="1">
      <alignment horizontal="center" vertical="center"/>
    </xf>
    <xf numFmtId="0" fontId="4" fillId="16" borderId="19" xfId="0" applyFont="1" applyFill="1" applyBorder="1" applyAlignment="1">
      <alignment horizontal="center" vertical="center"/>
    </xf>
    <xf numFmtId="2" fontId="4" fillId="16" borderId="20" xfId="0" applyNumberFormat="1" applyFont="1" applyFill="1" applyBorder="1" applyAlignment="1">
      <alignment horizontal="center" vertical="center"/>
    </xf>
    <xf numFmtId="2" fontId="4" fillId="16" borderId="21" xfId="0" applyNumberFormat="1" applyFont="1" applyFill="1" applyBorder="1" applyAlignment="1">
      <alignment horizontal="center" vertical="center"/>
    </xf>
    <xf numFmtId="0" fontId="0" fillId="16" borderId="21" xfId="0" applyFill="1" applyBorder="1" applyAlignment="1">
      <alignment horizontal="center" vertical="center"/>
    </xf>
    <xf numFmtId="2" fontId="0" fillId="16" borderId="21" xfId="0" applyNumberFormat="1" applyFill="1" applyBorder="1" applyAlignment="1">
      <alignment horizontal="center" vertical="center"/>
    </xf>
    <xf numFmtId="2" fontId="0" fillId="16" borderId="20" xfId="0" applyNumberFormat="1" applyFill="1" applyBorder="1" applyAlignment="1">
      <alignment horizontal="center" vertical="center"/>
    </xf>
    <xf numFmtId="0" fontId="0" fillId="16" borderId="0" xfId="0" applyFill="1"/>
    <xf numFmtId="0" fontId="4" fillId="16" borderId="14" xfId="0" applyFont="1" applyFill="1" applyBorder="1" applyAlignment="1">
      <alignment horizontal="center" vertical="center"/>
    </xf>
    <xf numFmtId="14" fontId="0" fillId="16" borderId="15" xfId="0" applyNumberFormat="1" applyFill="1" applyBorder="1" applyAlignment="1">
      <alignment horizontal="center"/>
    </xf>
    <xf numFmtId="2" fontId="0" fillId="16" borderId="15" xfId="0" applyNumberFormat="1" applyFill="1" applyBorder="1" applyAlignment="1">
      <alignment horizontal="center"/>
    </xf>
    <xf numFmtId="0" fontId="0" fillId="16" borderId="15" xfId="0" applyFill="1" applyBorder="1" applyAlignment="1">
      <alignment horizontal="center"/>
    </xf>
    <xf numFmtId="0" fontId="0" fillId="16" borderId="16" xfId="0" applyFill="1" applyBorder="1" applyAlignment="1">
      <alignment horizontal="center"/>
    </xf>
    <xf numFmtId="0" fontId="4" fillId="16" borderId="15" xfId="0" applyFont="1" applyFill="1" applyBorder="1" applyAlignment="1">
      <alignment horizontal="center"/>
    </xf>
    <xf numFmtId="2" fontId="4" fillId="16" borderId="16" xfId="0" applyNumberFormat="1" applyFont="1" applyFill="1" applyBorder="1" applyAlignment="1">
      <alignment horizontal="center"/>
    </xf>
    <xf numFmtId="0" fontId="4" fillId="16" borderId="17" xfId="0" applyFont="1" applyFill="1" applyBorder="1" applyAlignment="1">
      <alignment horizontal="center"/>
    </xf>
    <xf numFmtId="2" fontId="4" fillId="16" borderId="17" xfId="0" applyNumberFormat="1" applyFont="1" applyFill="1" applyBorder="1" applyAlignment="1">
      <alignment horizontal="center"/>
    </xf>
    <xf numFmtId="0" fontId="0" fillId="16" borderId="17" xfId="0" applyFill="1" applyBorder="1" applyAlignment="1">
      <alignment horizontal="center"/>
    </xf>
    <xf numFmtId="2" fontId="0" fillId="16" borderId="16" xfId="0" applyNumberFormat="1" applyFill="1" applyBorder="1" applyAlignment="1">
      <alignment horizontal="center"/>
    </xf>
    <xf numFmtId="2" fontId="4" fillId="16" borderId="17" xfId="0" applyNumberFormat="1" applyFont="1" applyFill="1" applyBorder="1" applyAlignment="1">
      <alignment horizontal="center" vertical="center"/>
    </xf>
    <xf numFmtId="2" fontId="0" fillId="16" borderId="17" xfId="0" applyNumberFormat="1" applyFill="1" applyBorder="1" applyAlignment="1">
      <alignment horizontal="center"/>
    </xf>
    <xf numFmtId="0" fontId="0" fillId="16" borderId="17" xfId="0" applyFill="1" applyBorder="1"/>
    <xf numFmtId="2" fontId="0" fillId="16" borderId="17" xfId="0" applyNumberFormat="1" applyFill="1" applyBorder="1" applyAlignment="1">
      <alignment horizontal="center" vertical="center"/>
    </xf>
    <xf numFmtId="0" fontId="4" fillId="16" borderId="16" xfId="0" applyFont="1" applyFill="1" applyBorder="1" applyAlignment="1">
      <alignment horizontal="center"/>
    </xf>
    <xf numFmtId="0" fontId="4" fillId="11" borderId="22" xfId="0" applyFont="1" applyFill="1" applyBorder="1" applyAlignment="1">
      <alignment horizontal="center" vertical="center"/>
    </xf>
    <xf numFmtId="14" fontId="0" fillId="11" borderId="23" xfId="0" applyNumberFormat="1" applyFill="1" applyBorder="1" applyAlignment="1">
      <alignment horizontal="center" vertical="center"/>
    </xf>
    <xf numFmtId="2" fontId="4" fillId="11" borderId="23" xfId="0" applyNumberFormat="1" applyFont="1" applyFill="1" applyBorder="1" applyAlignment="1">
      <alignment horizontal="center" vertical="center"/>
    </xf>
    <xf numFmtId="0" fontId="0" fillId="11" borderId="23" xfId="0" applyFill="1" applyBorder="1" applyAlignment="1">
      <alignment horizontal="center" vertical="center"/>
    </xf>
    <xf numFmtId="0" fontId="0" fillId="11" borderId="24" xfId="0" applyFill="1" applyBorder="1" applyAlignment="1">
      <alignment horizontal="center" vertical="center"/>
    </xf>
    <xf numFmtId="0" fontId="4" fillId="11" borderId="23" xfId="0" applyFont="1" applyFill="1" applyBorder="1" applyAlignment="1">
      <alignment horizontal="center" vertical="center"/>
    </xf>
    <xf numFmtId="2" fontId="4" fillId="11" borderId="24" xfId="0" applyNumberFormat="1" applyFont="1" applyFill="1" applyBorder="1" applyAlignment="1">
      <alignment horizontal="center" vertical="center"/>
    </xf>
    <xf numFmtId="2" fontId="4" fillId="11" borderId="25" xfId="0" applyNumberFormat="1" applyFont="1" applyFill="1" applyBorder="1" applyAlignment="1">
      <alignment horizontal="center" vertical="center"/>
    </xf>
    <xf numFmtId="0" fontId="0" fillId="11" borderId="25" xfId="0" applyFill="1" applyBorder="1" applyAlignment="1">
      <alignment horizontal="center" vertical="center"/>
    </xf>
    <xf numFmtId="2" fontId="0" fillId="11" borderId="25" xfId="0" applyNumberFormat="1" applyFill="1" applyBorder="1" applyAlignment="1">
      <alignment horizontal="center" vertical="center"/>
    </xf>
    <xf numFmtId="2" fontId="0" fillId="11" borderId="24" xfId="0" applyNumberFormat="1" applyFill="1" applyBorder="1" applyAlignment="1">
      <alignment horizontal="center" vertical="center"/>
    </xf>
    <xf numFmtId="0" fontId="20" fillId="11" borderId="17" xfId="0" applyFont="1" applyFill="1" applyBorder="1" applyAlignment="1">
      <alignment horizontal="center" vertical="center"/>
    </xf>
    <xf numFmtId="14" fontId="0" fillId="11" borderId="23" xfId="0" applyNumberFormat="1" applyFill="1" applyBorder="1" applyAlignment="1">
      <alignment horizontal="center"/>
    </xf>
    <xf numFmtId="2" fontId="0" fillId="11" borderId="23" xfId="0" applyNumberFormat="1" applyFill="1" applyBorder="1" applyAlignment="1">
      <alignment horizontal="center"/>
    </xf>
    <xf numFmtId="0" fontId="0" fillId="11" borderId="23" xfId="0" applyFill="1" applyBorder="1" applyAlignment="1">
      <alignment horizontal="center"/>
    </xf>
    <xf numFmtId="0" fontId="0" fillId="11" borderId="24" xfId="0" applyFill="1" applyBorder="1" applyAlignment="1">
      <alignment horizontal="center"/>
    </xf>
    <xf numFmtId="0" fontId="4" fillId="11" borderId="23" xfId="0" applyFont="1" applyFill="1" applyBorder="1" applyAlignment="1">
      <alignment horizontal="center"/>
    </xf>
    <xf numFmtId="2" fontId="4" fillId="11" borderId="24" xfId="0" applyNumberFormat="1" applyFont="1" applyFill="1" applyBorder="1" applyAlignment="1">
      <alignment horizontal="center"/>
    </xf>
    <xf numFmtId="0" fontId="4" fillId="11" borderId="25" xfId="0" applyFont="1" applyFill="1" applyBorder="1" applyAlignment="1">
      <alignment horizontal="center"/>
    </xf>
    <xf numFmtId="2" fontId="4" fillId="11" borderId="25" xfId="0" applyNumberFormat="1" applyFont="1" applyFill="1" applyBorder="1" applyAlignment="1">
      <alignment horizontal="center"/>
    </xf>
    <xf numFmtId="0" fontId="0" fillId="11" borderId="25" xfId="0" applyFill="1" applyBorder="1" applyAlignment="1">
      <alignment horizontal="center"/>
    </xf>
    <xf numFmtId="2" fontId="0" fillId="11" borderId="24" xfId="0" applyNumberFormat="1" applyFill="1" applyBorder="1" applyAlignment="1">
      <alignment horizontal="center"/>
    </xf>
    <xf numFmtId="2" fontId="0" fillId="11" borderId="25" xfId="0" applyNumberFormat="1" applyFill="1" applyBorder="1"/>
    <xf numFmtId="0" fontId="4" fillId="11" borderId="25" xfId="0" applyFont="1" applyFill="1" applyBorder="1"/>
    <xf numFmtId="0" fontId="4" fillId="12" borderId="0" xfId="2" applyFont="1" applyFill="1" applyBorder="1" applyAlignment="1" applyProtection="1">
      <alignment horizontal="center"/>
      <protection locked="0"/>
    </xf>
    <xf numFmtId="2" fontId="48" fillId="12" borderId="36" xfId="2" applyNumberFormat="1" applyFont="1" applyFill="1" applyBorder="1" applyAlignment="1" applyProtection="1">
      <alignment horizontal="center" vertical="center"/>
      <protection locked="0"/>
    </xf>
    <xf numFmtId="2" fontId="48" fillId="13" borderId="36" xfId="2" applyNumberFormat="1" applyFont="1" applyFill="1" applyBorder="1" applyAlignment="1" applyProtection="1">
      <alignment horizontal="center" vertical="center"/>
      <protection locked="0"/>
    </xf>
    <xf numFmtId="2" fontId="48" fillId="12" borderId="35" xfId="2" applyNumberFormat="1" applyFont="1" applyFill="1" applyBorder="1" applyAlignment="1" applyProtection="1">
      <alignment horizontal="center" vertical="center"/>
      <protection locked="0"/>
    </xf>
    <xf numFmtId="0" fontId="4" fillId="17" borderId="22" xfId="0" applyFont="1" applyFill="1" applyBorder="1" applyAlignment="1">
      <alignment horizontal="center" vertical="center"/>
    </xf>
    <xf numFmtId="14" fontId="0" fillId="17" borderId="23" xfId="0" applyNumberFormat="1" applyFill="1" applyBorder="1" applyAlignment="1">
      <alignment horizontal="center" vertical="center"/>
    </xf>
    <xf numFmtId="2" fontId="4" fillId="17" borderId="23" xfId="0" applyNumberFormat="1" applyFont="1" applyFill="1" applyBorder="1" applyAlignment="1">
      <alignment horizontal="center" vertical="center"/>
    </xf>
    <xf numFmtId="0" fontId="0" fillId="17" borderId="23" xfId="0" applyFill="1" applyBorder="1" applyAlignment="1">
      <alignment horizontal="center" vertical="center"/>
    </xf>
    <xf numFmtId="0" fontId="0" fillId="17" borderId="24" xfId="0" applyFill="1" applyBorder="1" applyAlignment="1">
      <alignment horizontal="center" vertical="center"/>
    </xf>
    <xf numFmtId="0" fontId="4" fillId="17" borderId="23" xfId="0" applyFont="1" applyFill="1" applyBorder="1" applyAlignment="1">
      <alignment horizontal="center" vertical="center"/>
    </xf>
    <xf numFmtId="2" fontId="4" fillId="17" borderId="24" xfId="0" applyNumberFormat="1" applyFont="1" applyFill="1" applyBorder="1" applyAlignment="1">
      <alignment horizontal="center" vertical="center"/>
    </xf>
    <xf numFmtId="2" fontId="4" fillId="17" borderId="25" xfId="0" applyNumberFormat="1" applyFont="1" applyFill="1" applyBorder="1" applyAlignment="1">
      <alignment horizontal="center" vertical="center"/>
    </xf>
    <xf numFmtId="0" fontId="0" fillId="17" borderId="25" xfId="0" applyFill="1" applyBorder="1" applyAlignment="1">
      <alignment horizontal="center" vertical="center"/>
    </xf>
    <xf numFmtId="2" fontId="0" fillId="17" borderId="25" xfId="0" applyNumberFormat="1" applyFill="1" applyBorder="1" applyAlignment="1">
      <alignment horizontal="center" vertical="center"/>
    </xf>
    <xf numFmtId="2" fontId="0" fillId="17" borderId="24" xfId="0" applyNumberFormat="1" applyFill="1" applyBorder="1" applyAlignment="1">
      <alignment horizontal="center" vertical="center"/>
    </xf>
    <xf numFmtId="0" fontId="0" fillId="17" borderId="0" xfId="0" applyFill="1"/>
    <xf numFmtId="0" fontId="4" fillId="17" borderId="14" xfId="0" applyFont="1" applyFill="1" applyBorder="1" applyAlignment="1">
      <alignment horizontal="center" vertical="center"/>
    </xf>
    <xf numFmtId="14" fontId="0" fillId="17" borderId="15" xfId="0" applyNumberFormat="1" applyFill="1" applyBorder="1" applyAlignment="1">
      <alignment horizontal="center" vertical="center"/>
    </xf>
    <xf numFmtId="2" fontId="4" fillId="17" borderId="15" xfId="0" applyNumberFormat="1" applyFont="1" applyFill="1" applyBorder="1" applyAlignment="1">
      <alignment horizontal="center" vertical="center"/>
    </xf>
    <xf numFmtId="0" fontId="0" fillId="17" borderId="15" xfId="0" applyFill="1" applyBorder="1" applyAlignment="1">
      <alignment horizontal="center" vertical="center"/>
    </xf>
    <xf numFmtId="0" fontId="0" fillId="17" borderId="16" xfId="0" applyFill="1" applyBorder="1" applyAlignment="1">
      <alignment horizontal="center" vertical="center"/>
    </xf>
    <xf numFmtId="0" fontId="4" fillId="17" borderId="15" xfId="0" applyFont="1" applyFill="1" applyBorder="1" applyAlignment="1">
      <alignment horizontal="center" vertical="center"/>
    </xf>
    <xf numFmtId="2" fontId="4" fillId="17" borderId="16" xfId="0" applyNumberFormat="1" applyFont="1" applyFill="1" applyBorder="1" applyAlignment="1">
      <alignment horizontal="center" vertical="center"/>
    </xf>
    <xf numFmtId="2" fontId="0" fillId="17" borderId="17" xfId="0" applyNumberFormat="1" applyFill="1" applyBorder="1" applyAlignment="1">
      <alignment horizontal="center" vertical="center"/>
    </xf>
    <xf numFmtId="2" fontId="4" fillId="17" borderId="17" xfId="0" applyNumberFormat="1" applyFont="1" applyFill="1" applyBorder="1" applyAlignment="1">
      <alignment horizontal="center" vertical="center"/>
    </xf>
    <xf numFmtId="0" fontId="0" fillId="17" borderId="17" xfId="0" applyFill="1" applyBorder="1" applyAlignment="1">
      <alignment horizontal="center" vertical="center"/>
    </xf>
    <xf numFmtId="2" fontId="0" fillId="17" borderId="16" xfId="0" applyNumberFormat="1" applyFill="1" applyBorder="1" applyAlignment="1">
      <alignment horizontal="center" vertical="center"/>
    </xf>
    <xf numFmtId="0" fontId="20" fillId="17" borderId="17" xfId="0" applyFont="1" applyFill="1" applyBorder="1" applyAlignment="1">
      <alignment horizontal="center" vertical="center"/>
    </xf>
    <xf numFmtId="0" fontId="4" fillId="17" borderId="17" xfId="0" applyFont="1" applyFill="1" applyBorder="1" applyAlignment="1">
      <alignment horizontal="center" vertical="center"/>
    </xf>
    <xf numFmtId="0" fontId="4" fillId="17" borderId="16" xfId="0" applyFont="1" applyFill="1" applyBorder="1" applyAlignment="1">
      <alignment horizontal="center" vertical="center"/>
    </xf>
    <xf numFmtId="14" fontId="0" fillId="17" borderId="23" xfId="0" applyNumberFormat="1" applyFill="1" applyBorder="1" applyAlignment="1">
      <alignment horizontal="center"/>
    </xf>
    <xf numFmtId="2" fontId="0" fillId="17" borderId="23" xfId="0" applyNumberFormat="1" applyFill="1" applyBorder="1" applyAlignment="1">
      <alignment horizontal="center"/>
    </xf>
    <xf numFmtId="0" fontId="0" fillId="17" borderId="23" xfId="0" applyFill="1" applyBorder="1" applyAlignment="1">
      <alignment horizontal="center"/>
    </xf>
    <xf numFmtId="0" fontId="0" fillId="17" borderId="24" xfId="0" applyFill="1" applyBorder="1" applyAlignment="1">
      <alignment horizontal="center"/>
    </xf>
    <xf numFmtId="0" fontId="4" fillId="17" borderId="23" xfId="0" applyFont="1" applyFill="1" applyBorder="1" applyAlignment="1">
      <alignment horizontal="center"/>
    </xf>
    <xf numFmtId="2" fontId="4" fillId="17" borderId="24" xfId="0" applyNumberFormat="1" applyFont="1" applyFill="1" applyBorder="1" applyAlignment="1">
      <alignment horizontal="center"/>
    </xf>
    <xf numFmtId="0" fontId="4" fillId="17" borderId="25" xfId="0" applyFont="1" applyFill="1" applyBorder="1" applyAlignment="1">
      <alignment horizontal="center"/>
    </xf>
    <xf numFmtId="2" fontId="4" fillId="17" borderId="25" xfId="0" applyNumberFormat="1" applyFont="1" applyFill="1" applyBorder="1" applyAlignment="1">
      <alignment horizontal="center"/>
    </xf>
    <xf numFmtId="0" fontId="0" fillId="17" borderId="25" xfId="0" applyFill="1" applyBorder="1" applyAlignment="1">
      <alignment horizontal="center"/>
    </xf>
    <xf numFmtId="2" fontId="0" fillId="17" borderId="24" xfId="0" applyNumberFormat="1" applyFill="1" applyBorder="1" applyAlignment="1">
      <alignment horizontal="center"/>
    </xf>
    <xf numFmtId="2" fontId="0" fillId="17" borderId="25" xfId="0" applyNumberFormat="1" applyFill="1" applyBorder="1"/>
    <xf numFmtId="0" fontId="4" fillId="17" borderId="25" xfId="0" applyFont="1" applyFill="1" applyBorder="1"/>
    <xf numFmtId="0" fontId="0" fillId="18" borderId="0" xfId="0" applyFill="1"/>
    <xf numFmtId="0" fontId="4" fillId="18" borderId="14" xfId="0" applyFont="1" applyFill="1" applyBorder="1" applyAlignment="1">
      <alignment horizontal="center" vertical="center"/>
    </xf>
    <xf numFmtId="14" fontId="0" fillId="18" borderId="15" xfId="0" applyNumberFormat="1" applyFill="1" applyBorder="1" applyAlignment="1">
      <alignment horizontal="center" vertical="center"/>
    </xf>
    <xf numFmtId="2" fontId="4" fillId="18" borderId="15" xfId="0" applyNumberFormat="1" applyFont="1" applyFill="1" applyBorder="1" applyAlignment="1">
      <alignment horizontal="center" vertical="center"/>
    </xf>
    <xf numFmtId="0" fontId="0" fillId="18" borderId="15" xfId="0" applyFill="1" applyBorder="1" applyAlignment="1">
      <alignment horizontal="center" vertical="center"/>
    </xf>
    <xf numFmtId="0" fontId="0" fillId="18" borderId="16" xfId="0" applyFill="1" applyBorder="1" applyAlignment="1">
      <alignment horizontal="center" vertical="center"/>
    </xf>
    <xf numFmtId="0" fontId="4" fillId="18" borderId="15" xfId="0" applyFont="1" applyFill="1" applyBorder="1" applyAlignment="1">
      <alignment horizontal="center" vertical="center"/>
    </xf>
    <xf numFmtId="2" fontId="4" fillId="18" borderId="16" xfId="0" applyNumberFormat="1" applyFont="1" applyFill="1" applyBorder="1" applyAlignment="1">
      <alignment horizontal="center" vertical="center"/>
    </xf>
    <xf numFmtId="2" fontId="0" fillId="18" borderId="17" xfId="0" applyNumberFormat="1" applyFill="1" applyBorder="1" applyAlignment="1">
      <alignment horizontal="center" vertical="center"/>
    </xf>
    <xf numFmtId="2" fontId="4" fillId="18" borderId="17" xfId="0" applyNumberFormat="1" applyFont="1" applyFill="1" applyBorder="1" applyAlignment="1">
      <alignment horizontal="center" vertical="center"/>
    </xf>
    <xf numFmtId="0" fontId="0" fillId="18" borderId="17" xfId="0" applyFill="1" applyBorder="1" applyAlignment="1">
      <alignment horizontal="center" vertical="center"/>
    </xf>
    <xf numFmtId="2" fontId="0" fillId="18" borderId="16" xfId="0" applyNumberFormat="1" applyFill="1" applyBorder="1" applyAlignment="1">
      <alignment horizontal="center" vertical="center"/>
    </xf>
    <xf numFmtId="0" fontId="4" fillId="18" borderId="17" xfId="0" applyFont="1" applyFill="1" applyBorder="1" applyAlignment="1">
      <alignment horizontal="center" vertical="center"/>
    </xf>
    <xf numFmtId="0" fontId="4" fillId="18" borderId="16" xfId="0" applyFont="1" applyFill="1" applyBorder="1" applyAlignment="1">
      <alignment horizontal="center" vertical="center"/>
    </xf>
    <xf numFmtId="0" fontId="4" fillId="0" borderId="0" xfId="2" applyFont="1" applyAlignment="1" applyProtection="1">
      <alignment wrapText="1"/>
    </xf>
    <xf numFmtId="2" fontId="0" fillId="0" borderId="0" xfId="0" applyNumberFormat="1"/>
    <xf numFmtId="14" fontId="0" fillId="18" borderId="0" xfId="0" applyNumberFormat="1" applyFill="1"/>
    <xf numFmtId="2" fontId="0" fillId="18" borderId="0" xfId="0" applyNumberFormat="1" applyFill="1"/>
    <xf numFmtId="0" fontId="4" fillId="19" borderId="14" xfId="0" applyFont="1" applyFill="1" applyBorder="1" applyAlignment="1">
      <alignment horizontal="center" vertical="center"/>
    </xf>
    <xf numFmtId="14" fontId="0" fillId="19" borderId="15" xfId="0" applyNumberFormat="1" applyFill="1" applyBorder="1" applyAlignment="1">
      <alignment horizontal="center" vertical="center"/>
    </xf>
    <xf numFmtId="2" fontId="4" fillId="19" borderId="15" xfId="0" applyNumberFormat="1" applyFont="1" applyFill="1" applyBorder="1" applyAlignment="1">
      <alignment horizontal="center" vertical="center"/>
    </xf>
    <xf numFmtId="0" fontId="0" fillId="19" borderId="15" xfId="0" applyFill="1" applyBorder="1" applyAlignment="1">
      <alignment horizontal="center" vertical="center"/>
    </xf>
    <xf numFmtId="0" fontId="0" fillId="19" borderId="16" xfId="0" applyFill="1" applyBorder="1" applyAlignment="1">
      <alignment horizontal="center" vertical="center"/>
    </xf>
    <xf numFmtId="0" fontId="4" fillId="19" borderId="15" xfId="0" applyFont="1" applyFill="1" applyBorder="1" applyAlignment="1">
      <alignment horizontal="center" vertical="center"/>
    </xf>
    <xf numFmtId="2" fontId="4" fillId="19" borderId="16" xfId="0" applyNumberFormat="1" applyFont="1" applyFill="1" applyBorder="1" applyAlignment="1">
      <alignment horizontal="center" vertical="center"/>
    </xf>
    <xf numFmtId="2" fontId="0" fillId="19" borderId="17" xfId="0" applyNumberFormat="1" applyFill="1" applyBorder="1" applyAlignment="1">
      <alignment horizontal="center" vertical="center"/>
    </xf>
    <xf numFmtId="0" fontId="4" fillId="19" borderId="17" xfId="0" applyFont="1" applyFill="1" applyBorder="1" applyAlignment="1">
      <alignment horizontal="center" vertical="center"/>
    </xf>
    <xf numFmtId="0" fontId="0" fillId="19" borderId="17" xfId="0" applyFill="1" applyBorder="1" applyAlignment="1">
      <alignment horizontal="center" vertical="center"/>
    </xf>
    <xf numFmtId="2" fontId="0" fillId="19" borderId="16" xfId="0" applyNumberFormat="1" applyFill="1" applyBorder="1" applyAlignment="1">
      <alignment horizontal="center" vertical="center"/>
    </xf>
    <xf numFmtId="2" fontId="4" fillId="19" borderId="17" xfId="0" applyNumberFormat="1" applyFont="1" applyFill="1" applyBorder="1" applyAlignment="1">
      <alignment horizontal="center" vertical="center"/>
    </xf>
    <xf numFmtId="0" fontId="4" fillId="19" borderId="16" xfId="0" applyFont="1" applyFill="1" applyBorder="1" applyAlignment="1">
      <alignment horizontal="center" vertical="center"/>
    </xf>
    <xf numFmtId="0" fontId="0" fillId="19" borderId="0" xfId="0" applyFill="1"/>
    <xf numFmtId="0" fontId="4" fillId="19" borderId="22" xfId="0" applyFont="1" applyFill="1" applyBorder="1" applyAlignment="1">
      <alignment horizontal="center" vertical="center"/>
    </xf>
    <xf numFmtId="14" fontId="0" fillId="19" borderId="23" xfId="0" applyNumberFormat="1" applyFill="1" applyBorder="1" applyAlignment="1">
      <alignment horizontal="center" vertical="center"/>
    </xf>
    <xf numFmtId="2" fontId="4" fillId="19" borderId="23" xfId="0" applyNumberFormat="1" applyFont="1" applyFill="1" applyBorder="1" applyAlignment="1">
      <alignment horizontal="center" vertical="center"/>
    </xf>
    <xf numFmtId="0" fontId="0" fillId="19" borderId="23" xfId="0" applyFill="1" applyBorder="1" applyAlignment="1">
      <alignment horizontal="center" vertical="center"/>
    </xf>
    <xf numFmtId="0" fontId="0" fillId="19" borderId="24" xfId="0" applyFill="1" applyBorder="1" applyAlignment="1">
      <alignment horizontal="center" vertical="center"/>
    </xf>
    <xf numFmtId="0" fontId="4" fillId="19" borderId="23" xfId="0" applyFont="1" applyFill="1" applyBorder="1" applyAlignment="1">
      <alignment horizontal="center" vertical="center"/>
    </xf>
    <xf numFmtId="2" fontId="4" fillId="19" borderId="24" xfId="0" applyNumberFormat="1" applyFont="1" applyFill="1" applyBorder="1" applyAlignment="1">
      <alignment horizontal="center" vertical="center"/>
    </xf>
    <xf numFmtId="2" fontId="0" fillId="19" borderId="25" xfId="0" applyNumberFormat="1" applyFill="1" applyBorder="1" applyAlignment="1">
      <alignment horizontal="center" vertical="center"/>
    </xf>
    <xf numFmtId="0" fontId="4" fillId="19" borderId="25" xfId="0" applyFont="1" applyFill="1" applyBorder="1" applyAlignment="1">
      <alignment horizontal="center" vertical="center"/>
    </xf>
    <xf numFmtId="0" fontId="0" fillId="19" borderId="25" xfId="0" applyFill="1" applyBorder="1" applyAlignment="1">
      <alignment horizontal="center" vertical="center"/>
    </xf>
    <xf numFmtId="2" fontId="0" fillId="19" borderId="24" xfId="0" applyNumberFormat="1" applyFill="1" applyBorder="1" applyAlignment="1">
      <alignment horizontal="center" vertical="center"/>
    </xf>
    <xf numFmtId="2" fontId="4" fillId="19" borderId="25" xfId="0" applyNumberFormat="1" applyFont="1" applyFill="1" applyBorder="1" applyAlignment="1">
      <alignment horizontal="center" vertical="center"/>
    </xf>
    <xf numFmtId="0" fontId="4" fillId="19" borderId="24" xfId="0" applyFont="1" applyFill="1" applyBorder="1" applyAlignment="1">
      <alignment horizontal="center" vertical="center"/>
    </xf>
    <xf numFmtId="14" fontId="0" fillId="19" borderId="23" xfId="0" applyNumberFormat="1" applyFill="1" applyBorder="1" applyAlignment="1">
      <alignment horizontal="center"/>
    </xf>
    <xf numFmtId="2" fontId="0" fillId="19" borderId="23" xfId="0" applyNumberFormat="1" applyFill="1" applyBorder="1" applyAlignment="1">
      <alignment horizontal="center"/>
    </xf>
    <xf numFmtId="0" fontId="0" fillId="19" borderId="23" xfId="0" applyFill="1" applyBorder="1" applyAlignment="1">
      <alignment horizontal="center"/>
    </xf>
    <xf numFmtId="0" fontId="0" fillId="19" borderId="24" xfId="0" applyFill="1" applyBorder="1" applyAlignment="1">
      <alignment horizontal="center"/>
    </xf>
    <xf numFmtId="0" fontId="4" fillId="19" borderId="23" xfId="0" applyFont="1" applyFill="1" applyBorder="1" applyAlignment="1">
      <alignment horizontal="center"/>
    </xf>
    <xf numFmtId="2" fontId="4" fillId="19" borderId="24" xfId="0" applyNumberFormat="1" applyFont="1" applyFill="1" applyBorder="1" applyAlignment="1">
      <alignment horizontal="center"/>
    </xf>
    <xf numFmtId="0" fontId="4" fillId="19" borderId="25" xfId="0" applyFont="1" applyFill="1" applyBorder="1" applyAlignment="1">
      <alignment horizontal="center"/>
    </xf>
    <xf numFmtId="0" fontId="0" fillId="19" borderId="25" xfId="0" applyFill="1" applyBorder="1" applyAlignment="1">
      <alignment horizontal="center"/>
    </xf>
    <xf numFmtId="2" fontId="0" fillId="19" borderId="24" xfId="0" applyNumberFormat="1" applyFill="1" applyBorder="1" applyAlignment="1">
      <alignment horizontal="center"/>
    </xf>
    <xf numFmtId="0" fontId="4" fillId="19" borderId="24" xfId="0" applyFont="1" applyFill="1" applyBorder="1" applyAlignment="1">
      <alignment horizontal="center"/>
    </xf>
    <xf numFmtId="2" fontId="0" fillId="19" borderId="25" xfId="0" applyNumberFormat="1" applyFill="1" applyBorder="1" applyAlignment="1">
      <alignment horizontal="center"/>
    </xf>
    <xf numFmtId="2" fontId="4" fillId="19" borderId="25" xfId="0" applyNumberFormat="1" applyFont="1" applyFill="1" applyBorder="1" applyAlignment="1">
      <alignment horizontal="center"/>
    </xf>
    <xf numFmtId="0" fontId="0" fillId="19" borderId="25" xfId="0" applyFill="1" applyBorder="1"/>
    <xf numFmtId="2" fontId="4" fillId="19" borderId="26" xfId="0" applyNumberFormat="1" applyFont="1" applyFill="1" applyBorder="1" applyAlignment="1">
      <alignment horizontal="center" vertical="center"/>
    </xf>
    <xf numFmtId="2" fontId="20" fillId="19" borderId="25" xfId="0" applyNumberFormat="1" applyFont="1" applyFill="1" applyBorder="1" applyAlignment="1">
      <alignment horizontal="center" vertical="center"/>
    </xf>
    <xf numFmtId="2" fontId="4" fillId="0" borderId="5" xfId="2" applyNumberFormat="1" applyFont="1" applyBorder="1" applyProtection="1"/>
    <xf numFmtId="0" fontId="3" fillId="0" borderId="35" xfId="0" applyFont="1" applyBorder="1"/>
    <xf numFmtId="1" fontId="14" fillId="0" borderId="5" xfId="6" applyNumberFormat="1" applyFont="1" applyBorder="1" applyAlignment="1" applyProtection="1">
      <alignment horizontal="right"/>
    </xf>
    <xf numFmtId="1" fontId="14" fillId="0" borderId="0" xfId="6" applyNumberFormat="1" applyFont="1" applyBorder="1" applyAlignment="1" applyProtection="1">
      <alignment horizontal="right"/>
    </xf>
    <xf numFmtId="2" fontId="14" fillId="0" borderId="0" xfId="3" applyNumberFormat="1" applyFont="1" applyBorder="1" applyAlignment="1" applyProtection="1">
      <alignment horizontal="right"/>
    </xf>
    <xf numFmtId="0" fontId="4" fillId="0" borderId="0" xfId="0" applyFont="1" applyFill="1" applyBorder="1" applyAlignment="1">
      <alignment horizontal="left"/>
    </xf>
    <xf numFmtId="0" fontId="4" fillId="0" borderId="0" xfId="2" applyFill="1" applyBorder="1" applyAlignment="1" applyProtection="1">
      <alignment horizontal="center" vertical="center"/>
      <protection locked="0"/>
    </xf>
    <xf numFmtId="0" fontId="0" fillId="0" borderId="0" xfId="0" applyFill="1"/>
    <xf numFmtId="2" fontId="0" fillId="0" borderId="0" xfId="0" applyNumberFormat="1" applyFill="1"/>
    <xf numFmtId="0" fontId="0" fillId="0" borderId="0" xfId="0" applyFill="1" applyAlignment="1">
      <alignment wrapText="1"/>
    </xf>
    <xf numFmtId="14" fontId="0" fillId="0" borderId="0" xfId="0" applyNumberFormat="1" applyFill="1"/>
    <xf numFmtId="164" fontId="6" fillId="0" borderId="4" xfId="0" applyNumberFormat="1" applyFont="1" applyBorder="1" applyAlignment="1" applyProtection="1">
      <alignment horizontal="left"/>
      <protection locked="0"/>
    </xf>
    <xf numFmtId="0" fontId="0" fillId="0" borderId="5" xfId="0" applyBorder="1" applyAlignment="1"/>
    <xf numFmtId="0" fontId="6" fillId="4" borderId="0" xfId="0" applyFont="1" applyFill="1" applyBorder="1" applyAlignment="1">
      <alignment horizontal="center"/>
    </xf>
    <xf numFmtId="0" fontId="0" fillId="4" borderId="0" xfId="0" applyFill="1" applyBorder="1" applyAlignment="1">
      <alignment horizontal="center"/>
    </xf>
    <xf numFmtId="0" fontId="4" fillId="4" borderId="4" xfId="2" applyFill="1" applyBorder="1" applyAlignment="1" applyProtection="1">
      <alignment horizontal="center" vertical="center"/>
      <protection locked="0"/>
    </xf>
    <xf numFmtId="0" fontId="4" fillId="4" borderId="5" xfId="2" applyFill="1" applyBorder="1" applyAlignment="1" applyProtection="1">
      <alignment horizontal="center" vertical="center"/>
      <protection locked="0"/>
    </xf>
    <xf numFmtId="0" fontId="4" fillId="4" borderId="13" xfId="2" applyFill="1" applyBorder="1" applyAlignment="1" applyProtection="1">
      <alignment horizontal="center" vertical="center"/>
      <protection locked="0"/>
    </xf>
    <xf numFmtId="0" fontId="4" fillId="3" borderId="4" xfId="2" applyFill="1" applyBorder="1" applyAlignment="1" applyProtection="1">
      <alignment horizontal="center" vertical="center"/>
      <protection locked="0"/>
    </xf>
    <xf numFmtId="0" fontId="4" fillId="3" borderId="5" xfId="2" applyFill="1" applyBorder="1" applyAlignment="1" applyProtection="1">
      <alignment horizontal="center" vertical="center"/>
      <protection locked="0"/>
    </xf>
    <xf numFmtId="0" fontId="4" fillId="3" borderId="13" xfId="2" applyFill="1" applyBorder="1" applyAlignment="1" applyProtection="1">
      <alignment horizontal="center" vertical="center"/>
      <protection locked="0"/>
    </xf>
    <xf numFmtId="0" fontId="42" fillId="11" borderId="30" xfId="0" applyFont="1" applyFill="1" applyBorder="1" applyAlignment="1">
      <alignment horizontal="center"/>
    </xf>
    <xf numFmtId="0" fontId="42" fillId="11" borderId="5" xfId="0" applyFont="1" applyFill="1" applyBorder="1" applyAlignment="1">
      <alignment horizontal="center"/>
    </xf>
    <xf numFmtId="0" fontId="6" fillId="4" borderId="3" xfId="0" applyFont="1" applyFill="1" applyBorder="1" applyAlignment="1" applyProtection="1">
      <alignment horizontal="left"/>
      <protection locked="0"/>
    </xf>
    <xf numFmtId="0" fontId="0" fillId="4" borderId="0" xfId="0" applyFill="1" applyBorder="1" applyAlignment="1"/>
    <xf numFmtId="0" fontId="6" fillId="0" borderId="4" xfId="0" applyFont="1" applyBorder="1" applyAlignment="1" applyProtection="1">
      <alignment horizontal="center"/>
      <protection locked="0"/>
    </xf>
    <xf numFmtId="0" fontId="0" fillId="0" borderId="5" xfId="0" applyBorder="1" applyAlignment="1">
      <alignment horizontal="center"/>
    </xf>
    <xf numFmtId="0" fontId="6" fillId="0" borderId="5" xfId="0" applyFont="1" applyBorder="1" applyAlignment="1" applyProtection="1">
      <alignment horizontal="center"/>
      <protection locked="0"/>
    </xf>
    <xf numFmtId="0" fontId="6" fillId="0" borderId="13" xfId="0" applyFont="1" applyBorder="1" applyAlignment="1" applyProtection="1">
      <alignment horizontal="center"/>
      <protection locked="0"/>
    </xf>
    <xf numFmtId="164" fontId="6" fillId="0" borderId="5" xfId="0" applyNumberFormat="1" applyFont="1" applyBorder="1" applyAlignment="1" applyProtection="1">
      <alignment horizontal="left"/>
      <protection locked="0"/>
    </xf>
    <xf numFmtId="164" fontId="6" fillId="0" borderId="13" xfId="0" applyNumberFormat="1" applyFont="1" applyBorder="1" applyAlignment="1" applyProtection="1">
      <alignment horizontal="left"/>
      <protection locked="0"/>
    </xf>
    <xf numFmtId="0" fontId="6" fillId="4" borderId="12" xfId="0" applyFont="1" applyFill="1" applyBorder="1" applyAlignment="1">
      <alignment horizontal="center"/>
    </xf>
    <xf numFmtId="0" fontId="14" fillId="0" borderId="5" xfId="2" applyFont="1" applyBorder="1" applyAlignment="1" applyProtection="1">
      <alignment horizontal="center"/>
    </xf>
    <xf numFmtId="0" fontId="14" fillId="0" borderId="13" xfId="2" applyFont="1" applyBorder="1" applyAlignment="1" applyProtection="1">
      <alignment horizontal="center"/>
    </xf>
  </cellXfs>
  <cellStyles count="13">
    <cellStyle name="??0" xfId="9" xr:uid="{53DCC706-F326-4547-95AD-E85C79DF53BD}"/>
    <cellStyle name="0.000" xfId="5" xr:uid="{C2AEDC3C-1B40-40C5-919D-595D4E06E7F0}"/>
    <cellStyle name="Bad" xfId="1" builtinId="27"/>
    <cellStyle name="hel8" xfId="6" xr:uid="{9BB1577F-470C-45E4-96CE-5E489118A5CA}"/>
    <cellStyle name="hel8 2" xfId="7" xr:uid="{E384A15E-8B19-41E3-8F18-CDE29A4E9F95}"/>
    <cellStyle name="hel8 blue" xfId="4" xr:uid="{77908107-EE7A-4C7D-9645-445596093F6D}"/>
    <cellStyle name="hel8b_Snow Pit1" xfId="3" xr:uid="{3AB067BF-8091-4BE0-BDFD-0CB6A9F3B688}"/>
    <cellStyle name="McCall" xfId="12" xr:uid="{A240420E-D776-4530-A703-51E39E1A211C}"/>
    <cellStyle name="Normal" xfId="0" builtinId="0"/>
    <cellStyle name="Normal 2 3" xfId="2" xr:uid="{6BF32C89-0377-42EB-9DD1-8E87894E865D}"/>
    <cellStyle name="Normal 4" xfId="8" xr:uid="{D6F600E2-AAFD-4B76-8941-9F45B491242E}"/>
    <cellStyle name="Normal_C-snowpits" xfId="10" xr:uid="{9E279A02-57D4-4F89-8BD4-15BAE8CBB0B6}"/>
    <cellStyle name="Probes" xfId="11" xr:uid="{3EAD97D8-2B11-4583-A672-93ED5B8B3685}"/>
  </cellStyles>
  <dxfs count="22">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9AC5FA"/>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304800</xdr:colOff>
      <xdr:row>30</xdr:row>
      <xdr:rowOff>190499</xdr:rowOff>
    </xdr:from>
    <xdr:to>
      <xdr:col>20</xdr:col>
      <xdr:colOff>47625</xdr:colOff>
      <xdr:row>56</xdr:row>
      <xdr:rowOff>104775</xdr:rowOff>
    </xdr:to>
    <xdr:sp macro="" textlink="">
      <xdr:nvSpPr>
        <xdr:cNvPr id="2" name="TextBox 1">
          <a:extLst>
            <a:ext uri="{FF2B5EF4-FFF2-40B4-BE49-F238E27FC236}">
              <a16:creationId xmlns:a16="http://schemas.microsoft.com/office/drawing/2014/main" id="{FF3C335D-DB4A-41E9-BAAF-67D380A2DD9B}"/>
            </a:ext>
          </a:extLst>
        </xdr:cNvPr>
        <xdr:cNvSpPr txBox="1"/>
      </xdr:nvSpPr>
      <xdr:spPr>
        <a:xfrm>
          <a:off x="8391525" y="6962774"/>
          <a:ext cx="4676775" cy="551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13-K17B</a:t>
          </a:r>
        </a:p>
        <a:p>
          <a:r>
            <a:rPr lang="en-US" sz="1100" b="1" baseline="0"/>
            <a:t>Old Calculation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bw: </a:t>
          </a:r>
          <a:r>
            <a:rPr lang="en-US" sz="1100" b="0" baseline="0">
              <a:solidFill>
                <a:schemeClr val="dk1"/>
              </a:solidFill>
              <a:effectLst/>
              <a:latin typeface="+mn-lt"/>
              <a:ea typeface="+mn-ea"/>
              <a:cs typeface="+mn-cs"/>
            </a:rPr>
            <a:t>product of 1.75 m snow depth, 0.47 measured density. The measurement of 1.75 m snow depth SUBTRACTS 20 cm from the measured probe depth of 1.95 (which is depth measured [I'm assuming; not specifically noted] at the stake. They do this because they are attributing melt post-field visit 2014 fall to STAKE PUNCH, not winter ablation. However, on that fall visit, there was not a significant amount of snow, only a note that "some new snow present"; this easily could have melted and ablation continued. This is a more obvious explanation for the 26 cm mismatch between fall 2014 surface location and probed depth. Doh!</a:t>
          </a:r>
          <a:endParaRPr lang="en-US">
            <a:effectLst/>
          </a:endParaRPr>
        </a:p>
        <a:p>
          <a:endParaRPr lang="en-US" sz="1100" b="1" baseline="0"/>
        </a:p>
        <a:p>
          <a:r>
            <a:rPr lang="en-US" sz="1100" b="1" baseline="0"/>
            <a:t>bs</a:t>
          </a:r>
          <a:r>
            <a:rPr lang="en-US" sz="1100" b="0" baseline="0"/>
            <a:t>:  residual</a:t>
          </a:r>
        </a:p>
        <a:p>
          <a:endParaRPr lang="en-US" sz="1100" b="0" baseline="0"/>
        </a:p>
        <a:p>
          <a:r>
            <a:rPr lang="en-US" sz="1100" b="1" baseline="0"/>
            <a:t>ba: </a:t>
          </a:r>
          <a:r>
            <a:rPr lang="en-US" sz="1100" b="0" baseline="0"/>
            <a:t>surface difference from 7.04 to 6.39, density of 0.45 (measured density in fall 2015). This omits melt AFTER measurement date (for true stratigraphic).</a:t>
          </a:r>
        </a:p>
        <a:p>
          <a:endParaRPr lang="en-US" sz="1100" b="1" baseline="0"/>
        </a:p>
        <a:p>
          <a:endParaRPr lang="en-US" sz="1100" b="1" baseline="0"/>
        </a:p>
        <a:p>
          <a:r>
            <a:rPr lang="en-US" sz="1100" b="1" baseline="0"/>
            <a:t>New calculation:</a:t>
          </a:r>
        </a:p>
        <a:p>
          <a:r>
            <a:rPr lang="en-US" sz="1100" b="1" baseline="0"/>
            <a:t>bw: </a:t>
          </a:r>
          <a:r>
            <a:rPr lang="en-US" sz="1100" b="0" baseline="0"/>
            <a:t>measured average depth of 2.01, density of 0.47 (measured)</a:t>
          </a:r>
        </a:p>
        <a:p>
          <a:endParaRPr lang="en-US" sz="1100" b="1" baseline="0"/>
        </a:p>
        <a:p>
          <a:r>
            <a:rPr lang="en-US" sz="1100" b="1" baseline="0"/>
            <a:t>ba: </a:t>
          </a:r>
          <a:r>
            <a:rPr lang="en-US" sz="1100" b="0" baseline="0"/>
            <a:t>surface difference calculation between observed 6.39 in fall 2015 and probed depth (including winter ablation in fall 2014) of 6.78. This is different from previous calculation. Measured density in fall 2015 of 0.45.</a:t>
          </a:r>
        </a:p>
        <a:p>
          <a:endParaRPr lang="en-US" sz="1100" b="0" baseline="0"/>
        </a:p>
        <a:p>
          <a:r>
            <a:rPr lang="en-US" sz="1100" b="1" baseline="0"/>
            <a:t>bs: </a:t>
          </a:r>
          <a:r>
            <a:rPr lang="en-US" sz="1100" b="0" baseline="0"/>
            <a:t>residual</a:t>
          </a:r>
        </a:p>
        <a:p>
          <a:endParaRPr lang="en-US" sz="1100" b="1" baseline="0"/>
        </a:p>
        <a:p>
          <a:r>
            <a:rPr lang="en-US" sz="1100" b="1" baseline="0"/>
            <a:t>summer accumulation:</a:t>
          </a:r>
        </a:p>
        <a:p>
          <a:r>
            <a:rPr lang="en-US" sz="1100" b="1" baseline="0"/>
            <a:t>winter ablation: </a:t>
          </a:r>
          <a:r>
            <a:rPr lang="en-US" sz="1100" b="0" baseline="0"/>
            <a:t>-0.26 m melt, 0.44 measured density in fall 2014.</a:t>
          </a:r>
        </a:p>
        <a:p>
          <a:r>
            <a:rPr lang="en-US" sz="1100" b="1" baseline="0"/>
            <a:t>summer accumulation: </a:t>
          </a:r>
          <a:r>
            <a:rPr lang="en-US" sz="1100" b="0" baseline="0"/>
            <a:t>0.30 m accumulation, measured density of 0.22</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152400</xdr:colOff>
      <xdr:row>32</xdr:row>
      <xdr:rowOff>19050</xdr:rowOff>
    </xdr:from>
    <xdr:to>
      <xdr:col>17</xdr:col>
      <xdr:colOff>514350</xdr:colOff>
      <xdr:row>59</xdr:row>
      <xdr:rowOff>123826</xdr:rowOff>
    </xdr:to>
    <xdr:sp macro="" textlink="">
      <xdr:nvSpPr>
        <xdr:cNvPr id="2" name="TextBox 1">
          <a:extLst>
            <a:ext uri="{FF2B5EF4-FFF2-40B4-BE49-F238E27FC236}">
              <a16:creationId xmlns:a16="http://schemas.microsoft.com/office/drawing/2014/main" id="{BEA32862-8D96-426E-8255-9363EFEDD0DC}"/>
            </a:ext>
          </a:extLst>
        </xdr:cNvPr>
        <xdr:cNvSpPr txBox="1"/>
      </xdr:nvSpPr>
      <xdr:spPr>
        <a:xfrm>
          <a:off x="7172325" y="6848475"/>
          <a:ext cx="4676775" cy="551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13-K17A</a:t>
          </a:r>
        </a:p>
        <a:p>
          <a:r>
            <a:rPr lang="en-US" sz="1100" b="1" baseline="0"/>
            <a:t>Old Calculation</a:t>
          </a:r>
        </a:p>
        <a:p>
          <a:r>
            <a:rPr lang="en-US" sz="1100" b="1" baseline="0"/>
            <a:t>none; they didn't make one</a:t>
          </a:r>
        </a:p>
        <a:p>
          <a:r>
            <a:rPr lang="en-US" sz="1100" b="1" baseline="0"/>
            <a:t>New calculation:</a:t>
          </a:r>
        </a:p>
        <a:p>
          <a:r>
            <a:rPr lang="en-US" sz="1100" b="1" baseline="0"/>
            <a:t>bw: </a:t>
          </a:r>
          <a:r>
            <a:rPr lang="en-US" sz="1100" b="0" baseline="0"/>
            <a:t>measured average depth of 2.01, density of 0.47 (measured)</a:t>
          </a:r>
        </a:p>
        <a:p>
          <a:endParaRPr lang="en-US" sz="1100" b="1" baseline="0"/>
        </a:p>
        <a:p>
          <a:r>
            <a:rPr lang="en-US" sz="1100" b="1" baseline="0"/>
            <a:t>ba: </a:t>
          </a:r>
          <a:r>
            <a:rPr lang="en-US" sz="1100" b="0" baseline="0"/>
            <a:t>surface difference calculation between observed 6.39 in fall 2015 and probed depth (including winter ablation in fall 2014) of 6.78. This is different from previous calculation. Measured density in fall 2015 of 0.45.</a:t>
          </a:r>
        </a:p>
        <a:p>
          <a:endParaRPr lang="en-US" sz="1100" b="0" baseline="0"/>
        </a:p>
        <a:p>
          <a:r>
            <a:rPr lang="en-US" sz="1100" b="1" baseline="0"/>
            <a:t>bs: </a:t>
          </a:r>
          <a:r>
            <a:rPr lang="en-US" sz="1100" b="0" baseline="0"/>
            <a:t>residual</a:t>
          </a:r>
        </a:p>
        <a:p>
          <a:endParaRPr lang="en-US" sz="1100" b="1" baseline="0"/>
        </a:p>
        <a:p>
          <a:r>
            <a:rPr lang="en-US" sz="1100" b="1" baseline="0"/>
            <a:t>summer accumulation:</a:t>
          </a:r>
        </a:p>
        <a:p>
          <a:r>
            <a:rPr lang="en-US" sz="1100" b="1" baseline="0"/>
            <a:t>winter ablation: </a:t>
          </a:r>
          <a:r>
            <a:rPr lang="en-US" sz="1100" b="0" baseline="0"/>
            <a:t>-0.26 m melt, 0.44 measured density in fall 2014.</a:t>
          </a:r>
        </a:p>
        <a:p>
          <a:r>
            <a:rPr lang="en-US" sz="1100" b="1" baseline="0"/>
            <a:t>summer accumulation: </a:t>
          </a:r>
          <a:r>
            <a:rPr lang="en-US" sz="1100" b="0" baseline="0"/>
            <a:t>0.30 m accumulation, measured density of 0.22</a:t>
          </a:r>
        </a:p>
        <a:p>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123825</xdr:colOff>
      <xdr:row>33</xdr:row>
      <xdr:rowOff>57150</xdr:rowOff>
    </xdr:from>
    <xdr:to>
      <xdr:col>17</xdr:col>
      <xdr:colOff>533400</xdr:colOff>
      <xdr:row>60</xdr:row>
      <xdr:rowOff>1</xdr:rowOff>
    </xdr:to>
    <xdr:sp macro="" textlink="">
      <xdr:nvSpPr>
        <xdr:cNvPr id="2" name="TextBox 1">
          <a:extLst>
            <a:ext uri="{FF2B5EF4-FFF2-40B4-BE49-F238E27FC236}">
              <a16:creationId xmlns:a16="http://schemas.microsoft.com/office/drawing/2014/main" id="{2A84E74A-1CA4-4ED7-AD4C-52983BB6E413}"/>
            </a:ext>
          </a:extLst>
        </xdr:cNvPr>
        <xdr:cNvSpPr txBox="1"/>
      </xdr:nvSpPr>
      <xdr:spPr>
        <a:xfrm>
          <a:off x="7105650" y="7134225"/>
          <a:ext cx="4676775" cy="551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13-K17C</a:t>
          </a:r>
        </a:p>
        <a:p>
          <a:r>
            <a:rPr lang="en-US" sz="1100" b="1" baseline="0"/>
            <a:t>Old Calculation</a:t>
          </a:r>
        </a:p>
        <a:p>
          <a:r>
            <a:rPr lang="en-US" sz="1100" b="1" baseline="0"/>
            <a:t>bw: </a:t>
          </a:r>
          <a:r>
            <a:rPr lang="en-US" sz="1100" b="0" baseline="0"/>
            <a:t>stake measurments entered incorrectly (based on field data). Field data indicate H total was 9.15, H' out was 0.25 m. BUT, data entry sheet has 9 m total length. This misses 15 cm of snow. Density from that measured at K17A</a:t>
          </a:r>
        </a:p>
        <a:p>
          <a:endParaRPr lang="en-US" sz="1100" b="1" baseline="0"/>
        </a:p>
        <a:p>
          <a:r>
            <a:rPr lang="en-US" sz="1100" b="1" baseline="0"/>
            <a:t>ba: </a:t>
          </a:r>
          <a:r>
            <a:rPr lang="en-US" sz="1100" b="0" baseline="0"/>
            <a:t>depth of 0.17, density of 0.44 (estimate; no idea how). </a:t>
          </a:r>
        </a:p>
        <a:p>
          <a:endParaRPr lang="en-US" sz="1100" b="1" baseline="0"/>
        </a:p>
        <a:p>
          <a:r>
            <a:rPr lang="en-US" sz="1100" b="1" baseline="0"/>
            <a:t>New calculation:</a:t>
          </a:r>
        </a:p>
        <a:p>
          <a:endParaRPr lang="en-US" sz="1100" b="1" baseline="0"/>
        </a:p>
        <a:p>
          <a:r>
            <a:rPr lang="en-US" sz="1100" b="1" baseline="0"/>
            <a:t>bw: </a:t>
          </a:r>
          <a:r>
            <a:rPr lang="en-US" sz="1100" b="0" baseline="0"/>
            <a:t>using true stake length (based on stake length in year prior and after) of 9.15. Gives 15 cm more snow. Density from that measured at K17A</a:t>
          </a:r>
        </a:p>
        <a:p>
          <a:endParaRPr lang="en-US" sz="1100" b="0" baseline="0"/>
        </a:p>
        <a:p>
          <a:r>
            <a:rPr lang="en-US" sz="1100" b="1" baseline="0"/>
            <a:t>ba</a:t>
          </a:r>
          <a:r>
            <a:rPr lang="en-US" sz="1100" b="0" baseline="0"/>
            <a:t>: difference in surface height from fall to fall. This year does NOT have any winter ablation measurement available, due to bad probe depth in spring. Thus, this is more a measurement interval vs. stratigraphic measurement. Depth of 0.17, density of 0.50 (assumed for new firn in fall if not measured).</a:t>
          </a:r>
        </a:p>
        <a:p>
          <a:endParaRPr lang="en-US" sz="1100" b="0" baseline="0"/>
        </a:p>
        <a:p>
          <a:r>
            <a:rPr lang="en-US" sz="1100" b="1" baseline="0"/>
            <a:t>summer accumulation: </a:t>
          </a:r>
          <a:r>
            <a:rPr lang="en-US" sz="1100" b="0" baseline="0"/>
            <a:t>note that there is 0.4m new snow on firn. Assuming density of 0.25.</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257175</xdr:colOff>
      <xdr:row>35</xdr:row>
      <xdr:rowOff>104776</xdr:rowOff>
    </xdr:from>
    <xdr:to>
      <xdr:col>23</xdr:col>
      <xdr:colOff>104775</xdr:colOff>
      <xdr:row>38</xdr:row>
      <xdr:rowOff>9526</xdr:rowOff>
    </xdr:to>
    <xdr:sp macro="" textlink="">
      <xdr:nvSpPr>
        <xdr:cNvPr id="2" name="TextBox 1">
          <a:extLst>
            <a:ext uri="{FF2B5EF4-FFF2-40B4-BE49-F238E27FC236}">
              <a16:creationId xmlns:a16="http://schemas.microsoft.com/office/drawing/2014/main" id="{8DB5C405-BD05-4371-A972-2736AAF88E8E}"/>
            </a:ext>
          </a:extLst>
        </xdr:cNvPr>
        <xdr:cNvSpPr txBox="1"/>
      </xdr:nvSpPr>
      <xdr:spPr>
        <a:xfrm>
          <a:off x="11915775" y="7562851"/>
          <a:ext cx="35337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K29B and K29C</a:t>
          </a:r>
          <a:r>
            <a:rPr lang="en-US" sz="1100" baseline="0"/>
            <a:t> are 150 m apart in fall 2014. However, K29B was not found following first installation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6</xdr:row>
      <xdr:rowOff>152400</xdr:rowOff>
    </xdr:from>
    <xdr:to>
      <xdr:col>7</xdr:col>
      <xdr:colOff>542925</xdr:colOff>
      <xdr:row>15</xdr:row>
      <xdr:rowOff>47625</xdr:rowOff>
    </xdr:to>
    <xdr:sp macro="" textlink="">
      <xdr:nvSpPr>
        <xdr:cNvPr id="2" name="TextBox 1">
          <a:extLst>
            <a:ext uri="{FF2B5EF4-FFF2-40B4-BE49-F238E27FC236}">
              <a16:creationId xmlns:a16="http://schemas.microsoft.com/office/drawing/2014/main" id="{411365D9-B70C-48C2-8BAB-A36FA335D5B3}"/>
            </a:ext>
          </a:extLst>
        </xdr:cNvPr>
        <xdr:cNvSpPr txBox="1"/>
      </xdr:nvSpPr>
      <xdr:spPr>
        <a:xfrm>
          <a:off x="3962400" y="1295400"/>
          <a:ext cx="17430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only data from</a:t>
          </a:r>
          <a:r>
            <a:rPr lang="en-US" sz="1100" baseline="0"/>
            <a:t> this field visit, besides the stake measurements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17</xdr:col>
      <xdr:colOff>209550</xdr:colOff>
      <xdr:row>15</xdr:row>
      <xdr:rowOff>114301</xdr:rowOff>
    </xdr:from>
    <xdr:to>
      <xdr:col>23</xdr:col>
      <xdr:colOff>400050</xdr:colOff>
      <xdr:row>31</xdr:row>
      <xdr:rowOff>66675</xdr:rowOff>
    </xdr:to>
    <xdr:sp macro="" textlink="">
      <xdr:nvSpPr>
        <xdr:cNvPr id="2" name="Rectangle 1">
          <a:extLst>
            <a:ext uri="{FF2B5EF4-FFF2-40B4-BE49-F238E27FC236}">
              <a16:creationId xmlns:a16="http://schemas.microsoft.com/office/drawing/2014/main" id="{853A654F-E961-4A41-84CA-42428588E0C3}"/>
            </a:ext>
          </a:extLst>
        </xdr:cNvPr>
        <xdr:cNvSpPr/>
      </xdr:nvSpPr>
      <xdr:spPr>
        <a:xfrm>
          <a:off x="11372850" y="2362201"/>
          <a:ext cx="4086225" cy="2543174"/>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a:solidFill>
                <a:sysClr val="windowText" lastClr="000000"/>
              </a:solidFill>
            </a:rPr>
            <a:t>Other information:</a:t>
          </a:r>
        </a:p>
        <a:p>
          <a:pPr marL="0" indent="0" algn="l">
            <a:buFont typeface="Arial" panose="020B0604020202020204" pitchFamily="34" charset="0"/>
            <a:buNone/>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note that</a:t>
          </a:r>
          <a:r>
            <a:rPr lang="en-US" sz="1100" baseline="0">
              <a:solidFill>
                <a:sysClr val="windowText" lastClr="000000"/>
              </a:solidFill>
            </a:rPr>
            <a:t> there is 0.40 m of new snow; in pit notes it is 0.30.</a:t>
          </a:r>
          <a:endParaRPr lang="en-US" sz="1100">
            <a:solidFill>
              <a:sysClr val="windowText" lastClr="000000"/>
            </a:solidFill>
          </a:endParaRPr>
        </a:p>
        <a:p>
          <a:pPr marL="0" indent="0" algn="l">
            <a:buFont typeface="Arial" panose="020B0604020202020204" pitchFamily="34" charset="0"/>
            <a:buNone/>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04C3-9C35-4AA3-9A2F-CB5835CEBFB1}">
  <dimension ref="A1:Y41"/>
  <sheetViews>
    <sheetView topLeftCell="A7" workbookViewId="0">
      <selection sqref="A1:U1"/>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1" max="11" width="5.5703125" customWidth="1"/>
    <col min="12" max="12" width="11.28515625" customWidth="1"/>
    <col min="17" max="17" width="11.28515625" bestFit="1" customWidth="1"/>
    <col min="18" max="18" width="8.7109375" customWidth="1"/>
    <col min="19" max="19" width="8.42578125" customWidth="1"/>
    <col min="20" max="21" width="9" customWidth="1"/>
    <col min="22" max="22" width="10" customWidth="1"/>
  </cols>
  <sheetData>
    <row r="1" spans="1:22" ht="16.5" thickBot="1" x14ac:dyDescent="0.3">
      <c r="A1" s="1" t="s">
        <v>0</v>
      </c>
    </row>
    <row r="2" spans="1:22" x14ac:dyDescent="0.25">
      <c r="A2" s="2"/>
      <c r="B2" s="3"/>
      <c r="C2" s="725" t="s">
        <v>1</v>
      </c>
      <c r="D2" s="726"/>
      <c r="E2" s="726"/>
      <c r="F2" s="4"/>
      <c r="G2" s="5" t="s">
        <v>2</v>
      </c>
      <c r="H2" s="6"/>
      <c r="I2" s="6"/>
      <c r="J2" s="6"/>
      <c r="K2" s="6"/>
      <c r="L2" s="7" t="s">
        <v>3</v>
      </c>
      <c r="M2" s="727" t="s">
        <v>4</v>
      </c>
      <c r="N2" s="728"/>
      <c r="O2" s="728"/>
      <c r="P2" s="713" t="s">
        <v>5</v>
      </c>
      <c r="Q2" s="714"/>
      <c r="R2" s="714"/>
      <c r="S2" s="714"/>
      <c r="T2" s="8" t="s">
        <v>6</v>
      </c>
      <c r="U2" s="8" t="s">
        <v>7</v>
      </c>
    </row>
    <row r="3" spans="1:22" x14ac:dyDescent="0.25">
      <c r="A3" s="9" t="s">
        <v>8</v>
      </c>
      <c r="B3" s="9" t="s">
        <v>9</v>
      </c>
      <c r="C3" s="10" t="s">
        <v>10</v>
      </c>
      <c r="D3" s="715" t="s">
        <v>11</v>
      </c>
      <c r="E3" s="716"/>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2"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c r="V4" s="32"/>
    </row>
    <row r="5" spans="1:22"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43" t="s">
        <v>42</v>
      </c>
      <c r="R5" s="44" t="s">
        <v>44</v>
      </c>
      <c r="S5" s="42" t="s">
        <v>43</v>
      </c>
      <c r="T5" s="45" t="s">
        <v>43</v>
      </c>
      <c r="U5" s="45" t="s">
        <v>43</v>
      </c>
      <c r="V5" s="32"/>
    </row>
    <row r="6" spans="1:22" x14ac:dyDescent="0.25">
      <c r="A6" s="186" t="s">
        <v>60</v>
      </c>
      <c r="B6" s="187">
        <v>41872</v>
      </c>
      <c r="C6" s="188">
        <f>9-1.57</f>
        <v>7.43</v>
      </c>
      <c r="D6" s="189">
        <v>0</v>
      </c>
      <c r="E6" s="190">
        <v>0</v>
      </c>
      <c r="F6" s="191" t="s">
        <v>61</v>
      </c>
      <c r="G6" s="192">
        <v>2.0499999999999998</v>
      </c>
      <c r="H6" s="193" t="s">
        <v>48</v>
      </c>
      <c r="I6" s="193" t="s">
        <v>48</v>
      </c>
      <c r="J6" s="193"/>
      <c r="K6" s="194">
        <v>1</v>
      </c>
      <c r="L6" s="192">
        <f t="shared" ref="L6:L13" si="0">C6</f>
        <v>7.43</v>
      </c>
      <c r="M6" s="192">
        <f>M19</f>
        <v>0.45280000000000004</v>
      </c>
      <c r="N6" s="195">
        <f t="shared" ref="N6:N13" si="1">L6*M6</f>
        <v>3.3643040000000002</v>
      </c>
      <c r="O6" s="193" t="e">
        <f>N6-#REF!</f>
        <v>#REF!</v>
      </c>
      <c r="P6" s="196">
        <f>G6</f>
        <v>2.0499999999999998</v>
      </c>
      <c r="Q6" s="193">
        <f>Q9</f>
        <v>0.4366666666666667</v>
      </c>
      <c r="R6" s="197" t="s">
        <v>45</v>
      </c>
      <c r="S6" s="195">
        <f>((P6*Q6)-(P6*(1-(Q6/0.9)))*0.07)</f>
        <v>0.82129074074074071</v>
      </c>
      <c r="T6" s="196">
        <f>-S6</f>
        <v>-0.82129074074074071</v>
      </c>
      <c r="U6" s="196" t="e">
        <f>T6+#REF!</f>
        <v>#REF!</v>
      </c>
      <c r="V6" s="190"/>
    </row>
    <row r="7" spans="1:22" x14ac:dyDescent="0.25">
      <c r="A7" s="198" t="s">
        <v>62</v>
      </c>
      <c r="B7" s="199">
        <v>41872</v>
      </c>
      <c r="C7" s="200">
        <f>6-0.63</f>
        <v>5.37</v>
      </c>
      <c r="D7" s="201">
        <v>0</v>
      </c>
      <c r="E7" s="202">
        <v>0</v>
      </c>
      <c r="F7" s="203" t="s">
        <v>59</v>
      </c>
      <c r="G7" s="204">
        <v>2</v>
      </c>
      <c r="H7" s="205" t="s">
        <v>48</v>
      </c>
      <c r="I7" s="205" t="s">
        <v>48</v>
      </c>
      <c r="J7" s="205"/>
      <c r="K7" s="206">
        <v>1</v>
      </c>
      <c r="L7" s="204">
        <f t="shared" si="0"/>
        <v>5.37</v>
      </c>
      <c r="M7" s="204">
        <f>M19</f>
        <v>0.45280000000000004</v>
      </c>
      <c r="N7" s="207">
        <f t="shared" si="1"/>
        <v>2.4315360000000004</v>
      </c>
      <c r="O7" s="205">
        <f>N7-N2</f>
        <v>2.4315360000000004</v>
      </c>
      <c r="P7" s="208">
        <f>G7</f>
        <v>2</v>
      </c>
      <c r="Q7" s="205">
        <f>Q9</f>
        <v>0.4366666666666667</v>
      </c>
      <c r="R7" s="206" t="s">
        <v>45</v>
      </c>
      <c r="S7" s="207">
        <f>((P7*Q7)-(P7*(1-(Q7/0.9)))*0.07)</f>
        <v>0.80125925925925934</v>
      </c>
      <c r="T7" s="208">
        <f>-S7</f>
        <v>-0.80125925925925934</v>
      </c>
      <c r="U7" s="208"/>
      <c r="V7" s="202"/>
    </row>
    <row r="8" spans="1:22" x14ac:dyDescent="0.25">
      <c r="A8" s="198" t="s">
        <v>63</v>
      </c>
      <c r="B8" s="199">
        <v>41872</v>
      </c>
      <c r="C8" s="200">
        <f>(30/3.2808)-1.76</f>
        <v>7.3841111923920995</v>
      </c>
      <c r="D8" s="201">
        <v>0</v>
      </c>
      <c r="E8" s="202">
        <v>0</v>
      </c>
      <c r="F8" s="203" t="s">
        <v>59</v>
      </c>
      <c r="G8" s="204">
        <v>2.2400000000000002</v>
      </c>
      <c r="H8" s="205" t="s">
        <v>48</v>
      </c>
      <c r="I8" s="205" t="s">
        <v>48</v>
      </c>
      <c r="J8" s="205"/>
      <c r="K8" s="206">
        <v>1</v>
      </c>
      <c r="L8" s="204">
        <f t="shared" si="0"/>
        <v>7.3841111923920995</v>
      </c>
      <c r="M8" s="204">
        <f>M19</f>
        <v>0.45280000000000004</v>
      </c>
      <c r="N8" s="207">
        <f t="shared" si="1"/>
        <v>3.3435255479151431</v>
      </c>
      <c r="O8" s="205"/>
      <c r="P8" s="208">
        <f>G8</f>
        <v>2.2400000000000002</v>
      </c>
      <c r="Q8" s="205">
        <f>Q9</f>
        <v>0.4366666666666667</v>
      </c>
      <c r="R8" s="206" t="s">
        <v>45</v>
      </c>
      <c r="S8" s="207">
        <f>((P8*Q8)-(P8*(1-(Q8/0.9)))*0.07)</f>
        <v>0.89741037037037052</v>
      </c>
      <c r="T8" s="208">
        <f>-S8</f>
        <v>-0.89741037037037052</v>
      </c>
      <c r="U8" s="208"/>
      <c r="V8" s="202"/>
    </row>
    <row r="9" spans="1:22" s="276" customFormat="1" x14ac:dyDescent="0.25">
      <c r="A9" s="264" t="s">
        <v>51</v>
      </c>
      <c r="B9" s="265">
        <v>41872</v>
      </c>
      <c r="C9" s="266">
        <f>(30/3.2808)-2.1</f>
        <v>7.0441111923920996</v>
      </c>
      <c r="D9" s="267">
        <v>0</v>
      </c>
      <c r="E9" s="268">
        <v>0</v>
      </c>
      <c r="F9" s="269" t="s">
        <v>59</v>
      </c>
      <c r="G9" s="270">
        <v>2.09</v>
      </c>
      <c r="H9" s="271">
        <f>AVERAGE(2.18,2.05,2.22,2.07,2,2.19,2.05,2.2,2.03)</f>
        <v>2.1100000000000003</v>
      </c>
      <c r="I9" s="271">
        <f>AVERAGE(2.09,2.18,2.05,2.22,2.07,2,2.19,2.05,2.2,2.03)</f>
        <v>2.1079999999999997</v>
      </c>
      <c r="J9" s="272"/>
      <c r="K9" s="273">
        <v>10</v>
      </c>
      <c r="L9" s="270">
        <f t="shared" si="0"/>
        <v>7.0441111923920996</v>
      </c>
      <c r="M9" s="270">
        <f>M19</f>
        <v>0.45280000000000004</v>
      </c>
      <c r="N9" s="271">
        <f t="shared" si="1"/>
        <v>3.1895735479151428</v>
      </c>
      <c r="O9" s="272"/>
      <c r="P9" s="274">
        <f>I9</f>
        <v>2.1079999999999997</v>
      </c>
      <c r="Q9" s="272">
        <v>0.4366666666666667</v>
      </c>
      <c r="R9" s="275" t="s">
        <v>46</v>
      </c>
      <c r="S9" s="271">
        <f>((P9*Q9)-(P9*(1-(Q9/0.9)))*0.07)</f>
        <v>0.8445272592592592</v>
      </c>
      <c r="T9" s="274">
        <f>-S9</f>
        <v>-0.8445272592592592</v>
      </c>
      <c r="U9" s="274"/>
      <c r="V9" s="268"/>
    </row>
    <row r="10" spans="1:22" ht="15.75" thickBot="1" x14ac:dyDescent="0.3">
      <c r="A10" s="146" t="s">
        <v>53</v>
      </c>
      <c r="B10" s="209">
        <v>41872</v>
      </c>
      <c r="C10" s="210">
        <f>(30/3.2808)-2.07</f>
        <v>7.074111192392099</v>
      </c>
      <c r="D10" s="211">
        <v>0</v>
      </c>
      <c r="E10" s="212">
        <v>0</v>
      </c>
      <c r="F10" s="213" t="s">
        <v>59</v>
      </c>
      <c r="G10" s="214">
        <v>2.48</v>
      </c>
      <c r="H10" s="157" t="s">
        <v>48</v>
      </c>
      <c r="I10" s="157" t="s">
        <v>48</v>
      </c>
      <c r="J10" s="157">
        <f>C10-G10-L1</f>
        <v>4.5941111923920985</v>
      </c>
      <c r="K10" s="215">
        <v>1</v>
      </c>
      <c r="L10" s="214">
        <f t="shared" si="0"/>
        <v>7.074111192392099</v>
      </c>
      <c r="M10" s="214">
        <f>M19</f>
        <v>0.45280000000000004</v>
      </c>
      <c r="N10" s="160">
        <f t="shared" si="1"/>
        <v>3.2031575479151426</v>
      </c>
      <c r="O10" s="157"/>
      <c r="P10" s="216">
        <f>G10</f>
        <v>2.48</v>
      </c>
      <c r="Q10" s="157">
        <f>Q9</f>
        <v>0.4366666666666667</v>
      </c>
      <c r="R10" s="215" t="s">
        <v>45</v>
      </c>
      <c r="S10" s="160">
        <f>((P10*Q10)-(P10*(1-(Q10/0.9)))*0.07)</f>
        <v>0.99356148148148171</v>
      </c>
      <c r="T10" s="216">
        <f>-S10</f>
        <v>-0.99356148148148171</v>
      </c>
      <c r="U10" s="216"/>
      <c r="V10" s="216"/>
    </row>
    <row r="11" spans="1:22" x14ac:dyDescent="0.25">
      <c r="A11" s="46" t="s">
        <v>47</v>
      </c>
      <c r="B11" s="47">
        <v>41872</v>
      </c>
      <c r="C11" s="48">
        <f>12-0.62</f>
        <v>11.38</v>
      </c>
      <c r="D11" s="49">
        <v>0</v>
      </c>
      <c r="E11" s="50">
        <v>0</v>
      </c>
      <c r="F11" s="51" t="s">
        <v>19</v>
      </c>
      <c r="G11" s="52">
        <v>0</v>
      </c>
      <c r="H11" s="53" t="s">
        <v>48</v>
      </c>
      <c r="I11" s="53" t="s">
        <v>48</v>
      </c>
      <c r="J11" s="54" t="s">
        <v>48</v>
      </c>
      <c r="K11" s="55">
        <v>1</v>
      </c>
      <c r="L11" s="52">
        <f t="shared" si="0"/>
        <v>11.38</v>
      </c>
      <c r="M11" s="52">
        <v>0.9</v>
      </c>
      <c r="N11" s="53">
        <f t="shared" si="1"/>
        <v>10.242000000000001</v>
      </c>
      <c r="O11" s="54" t="s">
        <v>48</v>
      </c>
      <c r="P11" s="56">
        <f>G11</f>
        <v>0</v>
      </c>
      <c r="Q11" s="54" t="s">
        <v>48</v>
      </c>
      <c r="R11" s="55" t="s">
        <v>48</v>
      </c>
      <c r="S11" s="57" t="s">
        <v>48</v>
      </c>
      <c r="T11" s="56" t="str">
        <f t="shared" ref="T11:T17" si="2">S11</f>
        <v>-</v>
      </c>
      <c r="U11" s="58" t="s">
        <v>48</v>
      </c>
      <c r="V11" s="50"/>
    </row>
    <row r="12" spans="1:22" x14ac:dyDescent="0.25">
      <c r="A12" s="59" t="s">
        <v>49</v>
      </c>
      <c r="B12" s="60">
        <v>41872</v>
      </c>
      <c r="C12" s="61">
        <f>12-2</f>
        <v>10</v>
      </c>
      <c r="D12" s="62">
        <v>0</v>
      </c>
      <c r="E12" s="63">
        <v>0</v>
      </c>
      <c r="F12" s="64" t="s">
        <v>19</v>
      </c>
      <c r="G12" s="65">
        <v>0</v>
      </c>
      <c r="H12" s="66" t="s">
        <v>48</v>
      </c>
      <c r="I12" s="66" t="s">
        <v>48</v>
      </c>
      <c r="J12" s="67" t="s">
        <v>48</v>
      </c>
      <c r="K12" s="68">
        <v>1</v>
      </c>
      <c r="L12" s="65">
        <f t="shared" si="0"/>
        <v>10</v>
      </c>
      <c r="M12" s="65">
        <v>0.9</v>
      </c>
      <c r="N12" s="66">
        <f t="shared" si="1"/>
        <v>9</v>
      </c>
      <c r="O12" s="67" t="s">
        <v>48</v>
      </c>
      <c r="P12" s="69">
        <f>G12</f>
        <v>0</v>
      </c>
      <c r="Q12" s="67" t="s">
        <v>48</v>
      </c>
      <c r="R12" s="68" t="s">
        <v>48</v>
      </c>
      <c r="S12" s="70" t="s">
        <v>48</v>
      </c>
      <c r="T12" s="69" t="str">
        <f t="shared" si="2"/>
        <v>-</v>
      </c>
      <c r="U12" s="71" t="s">
        <v>48</v>
      </c>
      <c r="V12" s="63"/>
    </row>
    <row r="13" spans="1:22" ht="15.75" thickBot="1" x14ac:dyDescent="0.3">
      <c r="A13" s="72" t="s">
        <v>50</v>
      </c>
      <c r="B13" s="73">
        <v>41872</v>
      </c>
      <c r="C13" s="74">
        <f>7.5-1.35</f>
        <v>6.15</v>
      </c>
      <c r="D13" s="75">
        <v>0</v>
      </c>
      <c r="E13" s="76">
        <v>0</v>
      </c>
      <c r="F13" s="77" t="s">
        <v>19</v>
      </c>
      <c r="G13" s="78">
        <v>0</v>
      </c>
      <c r="H13" s="79" t="s">
        <v>48</v>
      </c>
      <c r="I13" s="79" t="s">
        <v>48</v>
      </c>
      <c r="J13" s="80" t="s">
        <v>48</v>
      </c>
      <c r="K13" s="81">
        <v>1</v>
      </c>
      <c r="L13" s="78">
        <f t="shared" si="0"/>
        <v>6.15</v>
      </c>
      <c r="M13" s="78">
        <v>0.9</v>
      </c>
      <c r="N13" s="79">
        <f t="shared" si="1"/>
        <v>5.5350000000000001</v>
      </c>
      <c r="O13" s="80" t="s">
        <v>48</v>
      </c>
      <c r="P13" s="82">
        <f>G13</f>
        <v>0</v>
      </c>
      <c r="Q13" s="80" t="s">
        <v>48</v>
      </c>
      <c r="R13" s="81" t="s">
        <v>48</v>
      </c>
      <c r="S13" s="83" t="s">
        <v>48</v>
      </c>
      <c r="T13" s="82" t="str">
        <f t="shared" si="2"/>
        <v>-</v>
      </c>
      <c r="U13" s="84" t="s">
        <v>48</v>
      </c>
      <c r="V13" s="76"/>
    </row>
    <row r="14" spans="1:22" s="276" customFormat="1" x14ac:dyDescent="0.25">
      <c r="A14" s="277" t="s">
        <v>51</v>
      </c>
      <c r="B14" s="278">
        <v>42171</v>
      </c>
      <c r="C14" s="279">
        <f>(30/3.2808)-0.35</f>
        <v>8.7941111923920996</v>
      </c>
      <c r="D14" s="280">
        <v>0</v>
      </c>
      <c r="E14" s="281">
        <v>0</v>
      </c>
      <c r="F14" s="282" t="s">
        <v>52</v>
      </c>
      <c r="G14" s="283">
        <v>1.95</v>
      </c>
      <c r="H14" s="284">
        <f>AVERAGE(1.9,1.94,2.05,1.98,1.91,2.06,2.12,2.12,2.04)</f>
        <v>2.0133333333333336</v>
      </c>
      <c r="I14" s="284">
        <f>AVERAGE(1.95,1.9,1.94,2.05,1.98,1.91,2.06,2.12,2.12,2.04)</f>
        <v>2.0070000000000001</v>
      </c>
      <c r="J14" s="285">
        <f>C14-G14-L9</f>
        <v>-0.20000000000000018</v>
      </c>
      <c r="K14" s="286">
        <v>10</v>
      </c>
      <c r="L14" s="287">
        <f>L9</f>
        <v>7.0441111923920996</v>
      </c>
      <c r="M14" s="288"/>
      <c r="N14" s="289"/>
      <c r="O14" s="289"/>
      <c r="P14" s="287">
        <f>G14+J14</f>
        <v>1.7499999999999998</v>
      </c>
      <c r="Q14" s="284">
        <v>0.46666666666666662</v>
      </c>
      <c r="R14" s="290" t="s">
        <v>46</v>
      </c>
      <c r="S14" s="285">
        <f>P14*Q14</f>
        <v>0.81666666666666643</v>
      </c>
      <c r="T14" s="287">
        <f>S14</f>
        <v>0.81666666666666643</v>
      </c>
      <c r="U14" s="291" t="s">
        <v>48</v>
      </c>
      <c r="V14" s="281"/>
    </row>
    <row r="15" spans="1:22" ht="15.75" thickBot="1" x14ac:dyDescent="0.3">
      <c r="A15" s="85" t="s">
        <v>53</v>
      </c>
      <c r="B15" s="86">
        <v>42171</v>
      </c>
      <c r="C15" s="87">
        <f>9-0.25</f>
        <v>8.75</v>
      </c>
      <c r="D15" s="88">
        <v>0</v>
      </c>
      <c r="E15" s="89">
        <v>0</v>
      </c>
      <c r="F15" s="90" t="s">
        <v>52</v>
      </c>
      <c r="G15" s="91">
        <v>2.8</v>
      </c>
      <c r="H15" s="92" t="s">
        <v>48</v>
      </c>
      <c r="I15" s="93" t="s">
        <v>48</v>
      </c>
      <c r="J15" s="94">
        <f>C15-G15-L10</f>
        <v>-1.1241111923920988</v>
      </c>
      <c r="K15" s="95">
        <v>1</v>
      </c>
      <c r="L15" s="96">
        <f>L10</f>
        <v>7.074111192392099</v>
      </c>
      <c r="M15" s="97"/>
      <c r="N15" s="98"/>
      <c r="O15" s="99"/>
      <c r="P15" s="96">
        <f>G15+J15</f>
        <v>1.675888807607901</v>
      </c>
      <c r="Q15" s="93">
        <f>Q14</f>
        <v>0.46666666666666662</v>
      </c>
      <c r="R15" s="95" t="s">
        <v>45</v>
      </c>
      <c r="S15" s="92">
        <f>P15*Q15</f>
        <v>0.78208144355035369</v>
      </c>
      <c r="T15" s="96">
        <f t="shared" si="2"/>
        <v>0.78208144355035369</v>
      </c>
      <c r="U15" s="100" t="s">
        <v>48</v>
      </c>
      <c r="V15" s="101"/>
    </row>
    <row r="16" spans="1:22" x14ac:dyDescent="0.25">
      <c r="A16" s="102" t="s">
        <v>49</v>
      </c>
      <c r="B16" s="103">
        <v>42171</v>
      </c>
      <c r="C16" s="104">
        <f>12-1.51</f>
        <v>10.49</v>
      </c>
      <c r="D16" s="105">
        <v>0</v>
      </c>
      <c r="E16" s="106">
        <v>0</v>
      </c>
      <c r="F16" s="107" t="s">
        <v>52</v>
      </c>
      <c r="G16" s="108">
        <v>0.67</v>
      </c>
      <c r="H16" s="109">
        <f>AVERAGE(0.76,0.74,0.73,0.76,0.76,0.92,0.79,0.7,0.83)</f>
        <v>0.77666666666666673</v>
      </c>
      <c r="I16" s="110">
        <f>AVERAGE(0.67,0.76,0.74,0.73,0.76,0.76,0.92,0.79,0.7,0.83)</f>
        <v>0.76600000000000001</v>
      </c>
      <c r="J16" s="109">
        <f>C16-G16-L12</f>
        <v>-0.17999999999999972</v>
      </c>
      <c r="K16" s="111">
        <v>10</v>
      </c>
      <c r="L16" s="112">
        <f>C16-G16</f>
        <v>9.82</v>
      </c>
      <c r="M16" s="108">
        <v>0.9</v>
      </c>
      <c r="N16" s="110">
        <f>L16*M16</f>
        <v>8.838000000000001</v>
      </c>
      <c r="O16" s="113" t="s">
        <v>48</v>
      </c>
      <c r="P16" s="112">
        <f>I16</f>
        <v>0.76600000000000001</v>
      </c>
      <c r="Q16" s="110">
        <v>0.625</v>
      </c>
      <c r="R16" s="114" t="s">
        <v>46</v>
      </c>
      <c r="S16" s="109">
        <f>P16*Q16</f>
        <v>0.47875000000000001</v>
      </c>
      <c r="T16" s="112">
        <f t="shared" si="2"/>
        <v>0.47875000000000001</v>
      </c>
      <c r="U16" s="115" t="s">
        <v>48</v>
      </c>
      <c r="V16" s="106"/>
    </row>
    <row r="17" spans="1:25" ht="15.75" thickBot="1" x14ac:dyDescent="0.3">
      <c r="A17" s="116" t="s">
        <v>50</v>
      </c>
      <c r="B17" s="117">
        <v>42171</v>
      </c>
      <c r="C17" s="118">
        <f>7.5-1.62</f>
        <v>5.88</v>
      </c>
      <c r="D17" s="119">
        <v>0</v>
      </c>
      <c r="E17" s="120">
        <v>0</v>
      </c>
      <c r="F17" s="121" t="s">
        <v>52</v>
      </c>
      <c r="G17" s="122">
        <v>0.21</v>
      </c>
      <c r="H17" s="123">
        <f>AVERAGE(0.37,0.41,0.49,0.47,0.325,0.37,0.315,0.4,0.13)</f>
        <v>0.3644444444444444</v>
      </c>
      <c r="I17" s="124">
        <f>AVERAGE(0.21,0.37,0.41,0.49,0.47,0.325,0.37,0.315,0.4,0.13)</f>
        <v>0.34899999999999998</v>
      </c>
      <c r="J17" s="123">
        <f>C17-G17-L13</f>
        <v>-0.48000000000000043</v>
      </c>
      <c r="K17" s="125">
        <v>10</v>
      </c>
      <c r="L17" s="126">
        <f>C17-G17</f>
        <v>5.67</v>
      </c>
      <c r="M17" s="122">
        <v>0.9</v>
      </c>
      <c r="N17" s="124">
        <f>L17*M17</f>
        <v>5.1029999999999998</v>
      </c>
      <c r="O17" s="127" t="s">
        <v>48</v>
      </c>
      <c r="P17" s="126">
        <f>I17</f>
        <v>0.34899999999999998</v>
      </c>
      <c r="Q17" s="124">
        <v>0.63</v>
      </c>
      <c r="R17" s="128" t="s">
        <v>46</v>
      </c>
      <c r="S17" s="123">
        <f>P17*Q17</f>
        <v>0.21986999999999998</v>
      </c>
      <c r="T17" s="126">
        <f t="shared" si="2"/>
        <v>0.21986999999999998</v>
      </c>
      <c r="U17" s="129" t="s">
        <v>48</v>
      </c>
      <c r="V17" s="120"/>
    </row>
    <row r="18" spans="1:25" x14ac:dyDescent="0.25">
      <c r="A18" s="130" t="s">
        <v>54</v>
      </c>
      <c r="B18" s="131">
        <v>42270</v>
      </c>
      <c r="C18" s="132">
        <f>(30/3.2808)-1.76</f>
        <v>7.3841111923920995</v>
      </c>
      <c r="D18" s="133">
        <v>0</v>
      </c>
      <c r="E18" s="134">
        <v>0</v>
      </c>
      <c r="F18" s="135" t="s">
        <v>55</v>
      </c>
      <c r="G18" s="136" t="s">
        <v>48</v>
      </c>
      <c r="H18" s="137" t="s">
        <v>48</v>
      </c>
      <c r="I18" s="137" t="s">
        <v>48</v>
      </c>
      <c r="J18" s="138">
        <f>C18-L8</f>
        <v>0</v>
      </c>
      <c r="K18" s="139">
        <v>1</v>
      </c>
      <c r="L18" s="140">
        <f>C18</f>
        <v>7.3841111923920995</v>
      </c>
      <c r="M18" s="141">
        <f>M19</f>
        <v>0.45280000000000004</v>
      </c>
      <c r="N18" s="142"/>
      <c r="O18" s="137">
        <f>J18*M18</f>
        <v>0</v>
      </c>
      <c r="P18" s="140" t="str">
        <f>G18</f>
        <v>-</v>
      </c>
      <c r="Q18" s="143"/>
      <c r="R18" s="143"/>
      <c r="S18" s="144"/>
      <c r="T18" s="136" t="s">
        <v>56</v>
      </c>
      <c r="U18" s="145">
        <f>O18</f>
        <v>0</v>
      </c>
      <c r="V18" s="134"/>
    </row>
    <row r="19" spans="1:25" s="276" customFormat="1" x14ac:dyDescent="0.25">
      <c r="A19" s="264" t="s">
        <v>57</v>
      </c>
      <c r="B19" s="292">
        <v>42270</v>
      </c>
      <c r="C19" s="293">
        <f>(30/3.2808)-2.75</f>
        <v>6.3941111923920992</v>
      </c>
      <c r="D19" s="294">
        <v>0</v>
      </c>
      <c r="E19" s="295">
        <v>0</v>
      </c>
      <c r="F19" s="296" t="s">
        <v>55</v>
      </c>
      <c r="G19" s="297" t="s">
        <v>48</v>
      </c>
      <c r="H19" s="298" t="s">
        <v>48</v>
      </c>
      <c r="I19" s="298" t="s">
        <v>48</v>
      </c>
      <c r="J19" s="299">
        <f>C19-L9</f>
        <v>-0.65000000000000036</v>
      </c>
      <c r="K19" s="300">
        <v>1</v>
      </c>
      <c r="L19" s="301">
        <f>C19</f>
        <v>6.3941111923920992</v>
      </c>
      <c r="M19" s="272">
        <v>0.45280000000000004</v>
      </c>
      <c r="N19" s="302"/>
      <c r="O19" s="302">
        <f>J19*M19</f>
        <v>-0.29432000000000019</v>
      </c>
      <c r="P19" s="301" t="str">
        <f>G19</f>
        <v>-</v>
      </c>
      <c r="Q19" s="303"/>
      <c r="R19" s="303"/>
      <c r="S19" s="271"/>
      <c r="T19" s="301">
        <f>-T14</f>
        <v>-0.81666666666666643</v>
      </c>
      <c r="U19" s="301">
        <f>O19</f>
        <v>-0.29432000000000019</v>
      </c>
      <c r="V19" s="301" t="e">
        <f>V10+#REF!</f>
        <v>#REF!</v>
      </c>
    </row>
    <row r="20" spans="1:25" ht="15.75" thickBot="1" x14ac:dyDescent="0.3">
      <c r="A20" s="146" t="s">
        <v>58</v>
      </c>
      <c r="B20" s="147">
        <v>42270</v>
      </c>
      <c r="C20" s="148">
        <f>(30/3.2808)-1.9</f>
        <v>7.2441111923920989</v>
      </c>
      <c r="D20" s="149">
        <v>0</v>
      </c>
      <c r="E20" s="150">
        <v>0</v>
      </c>
      <c r="F20" s="151" t="s">
        <v>59</v>
      </c>
      <c r="G20" s="152" t="s">
        <v>48</v>
      </c>
      <c r="H20" s="153" t="s">
        <v>48</v>
      </c>
      <c r="I20" s="153" t="s">
        <v>48</v>
      </c>
      <c r="J20" s="154">
        <f>C20-L10</f>
        <v>0.16999999999999993</v>
      </c>
      <c r="K20" s="155">
        <v>1</v>
      </c>
      <c r="L20" s="156">
        <f>C20</f>
        <v>7.2441111923920989</v>
      </c>
      <c r="M20" s="157" t="s">
        <v>48</v>
      </c>
      <c r="N20" s="154" t="s">
        <v>48</v>
      </c>
      <c r="O20" s="154" t="s">
        <v>48</v>
      </c>
      <c r="P20" s="156">
        <f>C20-C10</f>
        <v>0.16999999999999993</v>
      </c>
      <c r="Q20" s="158">
        <f>Q9</f>
        <v>0.4366666666666667</v>
      </c>
      <c r="R20" s="159" t="s">
        <v>45</v>
      </c>
      <c r="S20" s="160">
        <f>P20*Q20</f>
        <v>7.4233333333333304E-2</v>
      </c>
      <c r="T20" s="156">
        <f>-S20</f>
        <v>-7.4233333333333304E-2</v>
      </c>
      <c r="U20" s="156">
        <f>T20+T15</f>
        <v>0.70784811021702043</v>
      </c>
      <c r="V20" s="156"/>
    </row>
    <row r="21" spans="1:25" x14ac:dyDescent="0.25">
      <c r="A21" s="46" t="s">
        <v>49</v>
      </c>
      <c r="B21" s="161">
        <v>42270</v>
      </c>
      <c r="C21" s="162">
        <f>12-4.74</f>
        <v>7.26</v>
      </c>
      <c r="D21" s="163">
        <v>0</v>
      </c>
      <c r="E21" s="164">
        <v>0</v>
      </c>
      <c r="F21" s="165" t="s">
        <v>19</v>
      </c>
      <c r="G21" s="166" t="s">
        <v>48</v>
      </c>
      <c r="H21" s="167" t="s">
        <v>48</v>
      </c>
      <c r="I21" s="167" t="s">
        <v>48</v>
      </c>
      <c r="J21" s="167" t="s">
        <v>48</v>
      </c>
      <c r="K21" s="168">
        <v>1</v>
      </c>
      <c r="L21" s="169">
        <f>C21</f>
        <v>7.26</v>
      </c>
      <c r="M21" s="170">
        <v>0.9</v>
      </c>
      <c r="N21" s="171">
        <f>L21*M21</f>
        <v>6.5339999999999998</v>
      </c>
      <c r="O21" s="171">
        <f>N21-N12</f>
        <v>-2.4660000000000002</v>
      </c>
      <c r="P21" s="169"/>
      <c r="Q21" s="57"/>
      <c r="R21" s="172"/>
      <c r="S21" s="53"/>
      <c r="T21" s="169">
        <f>O21-T16</f>
        <v>-2.94475</v>
      </c>
      <c r="U21" s="169">
        <f>O21</f>
        <v>-2.4660000000000002</v>
      </c>
      <c r="V21" s="164"/>
    </row>
    <row r="22" spans="1:25" ht="15.75" thickBot="1" x14ac:dyDescent="0.3">
      <c r="A22" s="72" t="s">
        <v>50</v>
      </c>
      <c r="B22" s="173">
        <v>42270</v>
      </c>
      <c r="C22" s="174">
        <f>7.5-4.74</f>
        <v>2.76</v>
      </c>
      <c r="D22" s="175">
        <v>0</v>
      </c>
      <c r="E22" s="176">
        <v>0</v>
      </c>
      <c r="F22" s="177" t="s">
        <v>19</v>
      </c>
      <c r="G22" s="178" t="s">
        <v>48</v>
      </c>
      <c r="H22" s="179" t="s">
        <v>48</v>
      </c>
      <c r="I22" s="179" t="s">
        <v>48</v>
      </c>
      <c r="J22" s="179" t="s">
        <v>48</v>
      </c>
      <c r="K22" s="180">
        <v>1</v>
      </c>
      <c r="L22" s="181">
        <f>C22</f>
        <v>2.76</v>
      </c>
      <c r="M22" s="182">
        <v>0.9</v>
      </c>
      <c r="N22" s="183">
        <f>L22*M22</f>
        <v>2.484</v>
      </c>
      <c r="O22" s="183">
        <f>N22-N13</f>
        <v>-3.0510000000000002</v>
      </c>
      <c r="P22" s="181"/>
      <c r="Q22" s="184"/>
      <c r="R22" s="185"/>
      <c r="S22" s="79"/>
      <c r="T22" s="181">
        <f>O22-T17</f>
        <v>-3.2708699999999999</v>
      </c>
      <c r="U22" s="181">
        <f>O22</f>
        <v>-3.0510000000000002</v>
      </c>
      <c r="V22" s="176"/>
    </row>
    <row r="24" spans="1:25" ht="16.5" thickBot="1" x14ac:dyDescent="0.3">
      <c r="A24" s="1" t="s">
        <v>64</v>
      </c>
    </row>
    <row r="25" spans="1:25" x14ac:dyDescent="0.25">
      <c r="A25" s="217"/>
      <c r="B25" s="218"/>
      <c r="C25" s="717" t="s">
        <v>1</v>
      </c>
      <c r="D25" s="718"/>
      <c r="E25" s="719"/>
      <c r="F25" s="218"/>
      <c r="G25" s="720" t="s">
        <v>2</v>
      </c>
      <c r="H25" s="721"/>
      <c r="I25" s="721"/>
      <c r="J25" s="721"/>
      <c r="K25" s="722"/>
      <c r="L25" s="219"/>
      <c r="M25" s="220"/>
      <c r="N25" s="221" t="s">
        <v>65</v>
      </c>
      <c r="O25" s="222"/>
      <c r="P25" s="223"/>
      <c r="Q25" s="221" t="s">
        <v>66</v>
      </c>
      <c r="R25" s="221"/>
      <c r="S25" s="222"/>
      <c r="T25" s="224" t="s">
        <v>67</v>
      </c>
      <c r="U25" s="221"/>
      <c r="V25" s="221"/>
      <c r="W25" s="221"/>
      <c r="X25" s="221"/>
      <c r="Y25" s="222"/>
    </row>
    <row r="26" spans="1:25" ht="45" x14ac:dyDescent="0.25">
      <c r="A26" s="225" t="s">
        <v>8</v>
      </c>
      <c r="B26" s="225" t="s">
        <v>9</v>
      </c>
      <c r="C26" s="226" t="s">
        <v>68</v>
      </c>
      <c r="D26" s="227" t="s">
        <v>69</v>
      </c>
      <c r="E26" s="228" t="s">
        <v>70</v>
      </c>
      <c r="F26" s="225" t="s">
        <v>12</v>
      </c>
      <c r="G26" s="229" t="s">
        <v>71</v>
      </c>
      <c r="H26" s="230"/>
      <c r="I26" s="230" t="s">
        <v>15</v>
      </c>
      <c r="J26" s="230"/>
      <c r="K26" s="231"/>
      <c r="L26" s="232" t="s">
        <v>72</v>
      </c>
      <c r="M26" s="233" t="s">
        <v>18</v>
      </c>
      <c r="N26" s="234" t="s">
        <v>73</v>
      </c>
      <c r="O26" s="235"/>
      <c r="P26" s="233" t="s">
        <v>20</v>
      </c>
      <c r="Q26" s="236" t="s">
        <v>21</v>
      </c>
      <c r="R26" s="234" t="s">
        <v>74</v>
      </c>
      <c r="S26" s="237" t="s">
        <v>75</v>
      </c>
      <c r="T26" s="238" t="s">
        <v>76</v>
      </c>
      <c r="U26" s="239" t="s">
        <v>77</v>
      </c>
      <c r="V26" s="239" t="s">
        <v>78</v>
      </c>
      <c r="W26" s="240" t="s">
        <v>79</v>
      </c>
      <c r="X26" s="240" t="s">
        <v>80</v>
      </c>
      <c r="Y26" s="241" t="s">
        <v>81</v>
      </c>
    </row>
    <row r="27" spans="1:25" x14ac:dyDescent="0.25">
      <c r="A27" s="225" t="s">
        <v>25</v>
      </c>
      <c r="B27" s="225"/>
      <c r="C27" s="226"/>
      <c r="D27" s="227"/>
      <c r="E27" s="228"/>
      <c r="F27" s="242"/>
      <c r="G27" s="229"/>
      <c r="H27" s="230"/>
      <c r="I27" s="230"/>
      <c r="J27" s="230"/>
      <c r="K27" s="231"/>
      <c r="L27" s="225"/>
      <c r="M27" s="233"/>
      <c r="N27" s="243" t="s">
        <v>82</v>
      </c>
      <c r="O27" s="235"/>
      <c r="P27" s="233" t="s">
        <v>29</v>
      </c>
      <c r="Q27" s="244" t="s">
        <v>31</v>
      </c>
      <c r="R27" s="243"/>
      <c r="S27" s="235"/>
      <c r="T27" s="245"/>
      <c r="U27" s="246"/>
      <c r="V27" s="246"/>
      <c r="W27" s="247"/>
      <c r="X27" s="247"/>
      <c r="Y27" s="248"/>
    </row>
    <row r="28" spans="1:25" ht="15.75" thickBot="1" x14ac:dyDescent="0.3">
      <c r="A28" s="249"/>
      <c r="B28" s="249" t="s">
        <v>38</v>
      </c>
      <c r="C28" s="250" t="s">
        <v>39</v>
      </c>
      <c r="D28" s="251" t="s">
        <v>39</v>
      </c>
      <c r="E28" s="252" t="s">
        <v>39</v>
      </c>
      <c r="F28" s="253"/>
      <c r="G28" s="254" t="s">
        <v>39</v>
      </c>
      <c r="H28" s="255"/>
      <c r="I28" s="255" t="s">
        <v>40</v>
      </c>
      <c r="J28" s="255"/>
      <c r="K28" s="256"/>
      <c r="L28" s="249" t="s">
        <v>39</v>
      </c>
      <c r="M28" s="257" t="s">
        <v>83</v>
      </c>
      <c r="N28" s="258" t="s">
        <v>39</v>
      </c>
      <c r="O28" s="259"/>
      <c r="P28" s="257" t="s">
        <v>39</v>
      </c>
      <c r="Q28" s="260" t="s">
        <v>42</v>
      </c>
      <c r="R28" s="258"/>
      <c r="S28" s="259" t="s">
        <v>84</v>
      </c>
      <c r="T28" s="261" t="s">
        <v>85</v>
      </c>
      <c r="U28" s="262" t="s">
        <v>85</v>
      </c>
      <c r="V28" s="262" t="s">
        <v>85</v>
      </c>
      <c r="W28" s="262" t="s">
        <v>85</v>
      </c>
      <c r="X28" s="262" t="s">
        <v>85</v>
      </c>
      <c r="Y28" s="263"/>
    </row>
    <row r="29" spans="1:25" ht="24" customHeight="1" x14ac:dyDescent="0.25">
      <c r="A29" s="304" t="s">
        <v>86</v>
      </c>
      <c r="B29" s="305">
        <v>41872</v>
      </c>
      <c r="C29" s="306">
        <v>9.14</v>
      </c>
      <c r="D29" s="306">
        <v>2.1</v>
      </c>
      <c r="E29" s="306">
        <f>C29-D29</f>
        <v>7.0400000000000009</v>
      </c>
      <c r="F29" s="306" t="s">
        <v>87</v>
      </c>
      <c r="G29" s="307">
        <v>2.09</v>
      </c>
      <c r="H29" s="306"/>
      <c r="I29" s="307">
        <v>2.1080000000000001</v>
      </c>
      <c r="J29" s="306"/>
      <c r="K29" s="306"/>
      <c r="L29" s="307">
        <f>E29-G29</f>
        <v>4.9500000000000011</v>
      </c>
      <c r="M29" s="306"/>
      <c r="N29" s="308">
        <v>2.08</v>
      </c>
      <c r="O29" s="306"/>
      <c r="P29" s="308">
        <f>I29</f>
        <v>2.1080000000000001</v>
      </c>
      <c r="Q29" s="307">
        <v>0.4371058150336658</v>
      </c>
      <c r="R29" s="306" t="s">
        <v>46</v>
      </c>
      <c r="S29" s="307">
        <v>0.97248576850094859</v>
      </c>
      <c r="T29" s="307">
        <v>-0.37</v>
      </c>
      <c r="U29" s="306"/>
      <c r="V29" s="307">
        <f>P29*Q29</f>
        <v>0.92141905809096758</v>
      </c>
      <c r="W29" s="306"/>
      <c r="X29" s="309" t="s">
        <v>88</v>
      </c>
      <c r="Y29" s="310" t="s">
        <v>89</v>
      </c>
    </row>
    <row r="30" spans="1:25" s="311" customFormat="1" x14ac:dyDescent="0.25">
      <c r="A30" s="399" t="s">
        <v>86</v>
      </c>
      <c r="B30" s="312">
        <v>42161</v>
      </c>
      <c r="C30" s="311">
        <v>9.14</v>
      </c>
      <c r="D30" s="311">
        <v>0.35</v>
      </c>
      <c r="E30" s="313">
        <f>C30-D30</f>
        <v>8.7900000000000009</v>
      </c>
      <c r="F30" s="311" t="s">
        <v>90</v>
      </c>
      <c r="G30" s="311" t="s">
        <v>125</v>
      </c>
      <c r="I30" s="398">
        <f>'FedSampCores13-K17B_2015.06.06'!I3</f>
        <v>2.0069999999999997</v>
      </c>
      <c r="L30" s="398">
        <f>E30-I30</f>
        <v>6.7830000000000013</v>
      </c>
      <c r="M30" s="398">
        <f>Q29</f>
        <v>0.4371058150336658</v>
      </c>
      <c r="N30" s="398">
        <f>L30-E29</f>
        <v>-0.25699999999999967</v>
      </c>
      <c r="P30" s="398">
        <f>I30</f>
        <v>2.0069999999999997</v>
      </c>
      <c r="Q30" s="398">
        <f>'FedSampCores13-K17B_2015.06.06'!I4</f>
        <v>0.46859715188503653</v>
      </c>
      <c r="R30" s="311" t="s">
        <v>46</v>
      </c>
      <c r="S30" s="398">
        <f>'FedSampCores13-K17B_2015.06.06'!O12</f>
        <v>0.96816143497757867</v>
      </c>
      <c r="U30" s="398">
        <f>P30*Q30</f>
        <v>0.94047448383326815</v>
      </c>
      <c r="W30" s="398">
        <f>M30*N30</f>
        <v>-0.11233619446365196</v>
      </c>
    </row>
    <row r="31" spans="1:25" s="402" customFormat="1" x14ac:dyDescent="0.25">
      <c r="A31" s="400" t="s">
        <v>86</v>
      </c>
      <c r="B31" s="401">
        <v>42270</v>
      </c>
      <c r="C31" s="402">
        <v>9.14</v>
      </c>
      <c r="D31" s="402">
        <v>2.75</v>
      </c>
      <c r="E31" s="402">
        <f>C31-D31</f>
        <v>6.3900000000000006</v>
      </c>
      <c r="F31" s="402" t="s">
        <v>128</v>
      </c>
      <c r="G31" s="468">
        <f>'FedSampCores13-K17B_2015.09.23'!I3</f>
        <v>2.2200000000000002</v>
      </c>
      <c r="I31" s="402" t="s">
        <v>125</v>
      </c>
      <c r="L31" s="468">
        <f>L30</f>
        <v>6.7830000000000013</v>
      </c>
      <c r="M31" s="468">
        <f>'FedSampCores13-K17B_2015.09.23'!I4</f>
        <v>0.45422222222222225</v>
      </c>
      <c r="N31" s="468">
        <f>E31-L31</f>
        <v>-0.39300000000000068</v>
      </c>
      <c r="R31" s="402" t="s">
        <v>46</v>
      </c>
      <c r="S31" s="468">
        <f>S29</f>
        <v>0.97248576850094859</v>
      </c>
      <c r="V31" s="468">
        <f>M31*N31</f>
        <v>-0.17850933333333366</v>
      </c>
    </row>
    <row r="32" spans="1:25" s="402" customFormat="1" x14ac:dyDescent="0.25">
      <c r="A32" s="400" t="s">
        <v>86</v>
      </c>
      <c r="B32" s="401">
        <v>42270</v>
      </c>
      <c r="C32" s="402">
        <v>9.14</v>
      </c>
      <c r="D32" s="402">
        <v>2.35</v>
      </c>
      <c r="E32" s="402">
        <f>C32-D32</f>
        <v>6.7900000000000009</v>
      </c>
      <c r="F32" s="402" t="s">
        <v>154</v>
      </c>
      <c r="G32" s="402">
        <f>'FedSampCores13-K17B_2015.09.23'!C16/100</f>
        <v>0.3</v>
      </c>
      <c r="P32" s="402">
        <f>G32</f>
        <v>0.3</v>
      </c>
      <c r="Q32" s="468">
        <f>'FedSampCores13-K17B_2015.09.23'!J16</f>
        <v>0.21733333333333332</v>
      </c>
      <c r="R32" s="402" t="s">
        <v>46</v>
      </c>
      <c r="S32" s="469">
        <v>1</v>
      </c>
      <c r="T32" s="468">
        <f>V31-U30</f>
        <v>-1.1189838171666018</v>
      </c>
      <c r="X32" s="468">
        <f>P32*Q32</f>
        <v>6.5199999999999994E-2</v>
      </c>
    </row>
    <row r="33" spans="1:9" ht="15.75" thickBot="1" x14ac:dyDescent="0.3"/>
    <row r="34" spans="1:9" ht="15" customHeight="1" x14ac:dyDescent="0.25">
      <c r="A34" s="494" t="s">
        <v>156</v>
      </c>
      <c r="B34" s="495"/>
      <c r="C34" s="723" t="s">
        <v>157</v>
      </c>
      <c r="D34" s="724"/>
      <c r="E34" s="470" t="s">
        <v>158</v>
      </c>
      <c r="F34" s="471"/>
      <c r="G34" s="470" t="s">
        <v>159</v>
      </c>
      <c r="H34" s="471"/>
      <c r="I34" s="472" t="s">
        <v>160</v>
      </c>
    </row>
    <row r="35" spans="1:9" ht="64.5" customHeight="1" x14ac:dyDescent="0.25">
      <c r="A35" s="496"/>
      <c r="B35" s="497"/>
      <c r="C35" s="473" t="s">
        <v>161</v>
      </c>
      <c r="D35" s="474" t="s">
        <v>162</v>
      </c>
      <c r="E35" s="475">
        <f>B29</f>
        <v>41872</v>
      </c>
      <c r="F35" s="476"/>
      <c r="G35" s="477">
        <f>B30</f>
        <v>42161</v>
      </c>
      <c r="H35" s="476" t="s">
        <v>163</v>
      </c>
      <c r="I35" s="478">
        <f>B31</f>
        <v>42270</v>
      </c>
    </row>
    <row r="36" spans="1:9" x14ac:dyDescent="0.25">
      <c r="A36" s="479"/>
      <c r="B36" s="480" t="s">
        <v>164</v>
      </c>
      <c r="C36" s="481">
        <f>U30</f>
        <v>0.94047448383326815</v>
      </c>
      <c r="D36" s="482" t="s">
        <v>125</v>
      </c>
      <c r="E36" s="483"/>
      <c r="F36" s="483"/>
      <c r="G36" s="484"/>
      <c r="H36" s="481"/>
      <c r="I36" s="485"/>
    </row>
    <row r="37" spans="1:9" x14ac:dyDescent="0.25">
      <c r="A37" s="479"/>
      <c r="B37" s="480" t="s">
        <v>165</v>
      </c>
      <c r="C37" s="481">
        <f>T32</f>
        <v>-1.1189838171666018</v>
      </c>
      <c r="D37" s="481"/>
      <c r="E37" s="483"/>
      <c r="F37" s="483"/>
      <c r="G37" s="484"/>
      <c r="H37" s="481"/>
      <c r="I37" s="485"/>
    </row>
    <row r="38" spans="1:9" x14ac:dyDescent="0.25">
      <c r="A38" s="479"/>
      <c r="B38" s="480" t="s">
        <v>166</v>
      </c>
      <c r="C38" s="481">
        <f>V31</f>
        <v>-0.17850933333333366</v>
      </c>
      <c r="D38" s="481"/>
      <c r="E38" s="483"/>
      <c r="F38" s="483"/>
      <c r="G38" s="484"/>
      <c r="H38" s="481"/>
      <c r="I38" s="485"/>
    </row>
    <row r="39" spans="1:9" x14ac:dyDescent="0.25">
      <c r="A39" s="479"/>
      <c r="B39" s="486" t="s">
        <v>167</v>
      </c>
      <c r="C39" s="481" t="str">
        <f>X29</f>
        <v>present, not measured</v>
      </c>
      <c r="D39" s="481"/>
      <c r="E39" s="483"/>
      <c r="F39" s="483"/>
      <c r="G39" s="481"/>
      <c r="H39" s="481"/>
      <c r="I39" s="485"/>
    </row>
    <row r="40" spans="1:9" x14ac:dyDescent="0.25">
      <c r="A40" s="479"/>
      <c r="B40" s="487" t="s">
        <v>168</v>
      </c>
      <c r="C40" s="481">
        <f>W30</f>
        <v>-0.11233619446365196</v>
      </c>
      <c r="D40" s="481"/>
      <c r="E40" s="483"/>
      <c r="F40" s="483"/>
      <c r="G40" s="481"/>
      <c r="H40" s="481"/>
      <c r="I40" s="485"/>
    </row>
    <row r="41" spans="1:9" ht="15.75" thickBot="1" x14ac:dyDescent="0.3">
      <c r="A41" s="488"/>
      <c r="B41" s="489" t="s">
        <v>169</v>
      </c>
      <c r="C41" s="490">
        <f>X32</f>
        <v>6.5199999999999994E-2</v>
      </c>
      <c r="D41" s="490"/>
      <c r="E41" s="491"/>
      <c r="F41" s="491"/>
      <c r="G41" s="492"/>
      <c r="H41" s="492"/>
      <c r="I41" s="493"/>
    </row>
  </sheetData>
  <mergeCells count="7">
    <mergeCell ref="P2:S2"/>
    <mergeCell ref="D3:E3"/>
    <mergeCell ref="C25:E25"/>
    <mergeCell ref="G25:K25"/>
    <mergeCell ref="C34:D34"/>
    <mergeCell ref="C2:E2"/>
    <mergeCell ref="M2:O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E1739-76E9-4DE0-B680-45B36FB7CD8C}">
  <dimension ref="A1:Z153"/>
  <sheetViews>
    <sheetView workbookViewId="0">
      <selection activeCell="C22" sqref="A1:XFD1048576"/>
    </sheetView>
  </sheetViews>
  <sheetFormatPr defaultColWidth="7.85546875" defaultRowHeight="11.25" x14ac:dyDescent="0.2"/>
  <cols>
    <col min="1" max="1" width="22.7109375" style="348" customWidth="1"/>
    <col min="2" max="2" width="22" style="348" customWidth="1"/>
    <col min="3" max="3" width="15.42578125" style="397" customWidth="1"/>
    <col min="4" max="4" width="14.28515625" style="397" customWidth="1"/>
    <col min="5" max="5" width="11.85546875" style="397" customWidth="1"/>
    <col min="6" max="6" width="18.28515625" style="397" customWidth="1"/>
    <col min="7" max="7" width="13.7109375" style="345" customWidth="1"/>
    <col min="8" max="8" width="18.7109375" style="384" customWidth="1"/>
    <col min="9" max="9" width="10.7109375" style="345" customWidth="1"/>
    <col min="10" max="10" width="8.5703125" style="345" customWidth="1"/>
    <col min="11" max="11" width="13.5703125" style="353" customWidth="1"/>
    <col min="12" max="12" width="7" style="386" customWidth="1"/>
    <col min="13" max="13" width="10.28515625" style="348" customWidth="1"/>
    <col min="14" max="14" width="5.7109375" style="348" bestFit="1" customWidth="1"/>
    <col min="15" max="15" width="16.5703125" style="347" customWidth="1"/>
    <col min="16" max="16" width="5.85546875" style="396" bestFit="1" customWidth="1"/>
    <col min="17" max="17" width="14" style="349" bestFit="1" customWidth="1"/>
    <col min="18" max="18" width="6" style="349" bestFit="1" customWidth="1"/>
    <col min="19" max="19" width="8.7109375" style="349" bestFit="1" customWidth="1"/>
    <col min="20" max="21" width="17.28515625" style="348" bestFit="1" customWidth="1"/>
    <col min="22" max="22" width="9.28515625" style="348" bestFit="1" customWidth="1"/>
    <col min="23" max="27" width="5.28515625" style="348" customWidth="1"/>
    <col min="28" max="28" width="17" style="348" customWidth="1"/>
    <col min="29" max="16384" width="7.85546875" style="348"/>
  </cols>
  <sheetData>
    <row r="1" spans="1:24" s="322" customFormat="1" ht="12.75" x14ac:dyDescent="0.2">
      <c r="A1" s="314" t="s">
        <v>91</v>
      </c>
      <c r="B1" s="315" t="s">
        <v>92</v>
      </c>
      <c r="C1" s="316"/>
      <c r="D1" s="315"/>
      <c r="E1" s="317"/>
      <c r="F1" s="317"/>
      <c r="G1" s="318"/>
      <c r="H1" s="319" t="s">
        <v>93</v>
      </c>
      <c r="I1" s="320">
        <f>MAX(A12:A14)*2.54/100</f>
        <v>1.9431</v>
      </c>
      <c r="J1" s="321" t="s">
        <v>94</v>
      </c>
      <c r="K1" s="315"/>
      <c r="L1" s="315"/>
      <c r="N1" s="323"/>
      <c r="P1" s="324"/>
      <c r="Q1" s="324"/>
      <c r="R1" s="324"/>
      <c r="S1" s="324"/>
    </row>
    <row r="2" spans="1:24" s="322" customFormat="1" ht="12.75" x14ac:dyDescent="0.2">
      <c r="A2" s="325" t="s">
        <v>95</v>
      </c>
      <c r="B2" s="315" t="s">
        <v>96</v>
      </c>
      <c r="C2" s="326"/>
      <c r="D2" s="315"/>
      <c r="E2" s="327"/>
      <c r="F2" s="327"/>
      <c r="G2" s="328"/>
      <c r="H2" s="329" t="s">
        <v>97</v>
      </c>
      <c r="I2" s="330">
        <f>I12/100</f>
        <v>1.95</v>
      </c>
      <c r="J2" s="331" t="s">
        <v>98</v>
      </c>
      <c r="K2" s="315"/>
      <c r="L2" s="315"/>
      <c r="N2" s="332"/>
      <c r="P2" s="324"/>
      <c r="Q2" s="324"/>
      <c r="R2" s="324"/>
      <c r="S2" s="324"/>
    </row>
    <row r="3" spans="1:24" s="335" customFormat="1" ht="11.25" customHeight="1" x14ac:dyDescent="0.2">
      <c r="A3" s="333" t="s">
        <v>99</v>
      </c>
      <c r="B3" s="334">
        <v>42161</v>
      </c>
      <c r="C3" s="326"/>
      <c r="D3" s="327"/>
      <c r="E3" s="327"/>
      <c r="F3" s="327"/>
      <c r="G3" s="328"/>
      <c r="H3" s="333" t="s">
        <v>100</v>
      </c>
      <c r="I3" s="330">
        <f>AVERAGE(I12:I21)/100</f>
        <v>2.0069999999999997</v>
      </c>
      <c r="J3" s="331"/>
      <c r="K3" s="315"/>
      <c r="L3" s="315"/>
      <c r="N3" s="336"/>
      <c r="P3" s="337"/>
      <c r="Q3" s="337"/>
      <c r="R3" s="337"/>
      <c r="S3" s="337"/>
    </row>
    <row r="4" spans="1:24" s="322" customFormat="1" ht="12.75" x14ac:dyDescent="0.2">
      <c r="A4" s="333" t="s">
        <v>101</v>
      </c>
      <c r="B4" s="338" t="s">
        <v>102</v>
      </c>
      <c r="C4" s="326"/>
      <c r="D4" s="327"/>
      <c r="E4" s="327"/>
      <c r="F4" s="327"/>
      <c r="G4" s="328"/>
      <c r="H4" s="333" t="s">
        <v>103</v>
      </c>
      <c r="I4" s="330">
        <f>AVERAGE(E12:E14)</f>
        <v>0.46859715188503653</v>
      </c>
      <c r="J4" s="331"/>
      <c r="K4" s="315"/>
      <c r="L4" s="315"/>
      <c r="M4" s="323"/>
      <c r="N4" s="323"/>
      <c r="P4" s="324"/>
      <c r="Q4" s="324"/>
      <c r="R4" s="324"/>
      <c r="S4" s="324"/>
    </row>
    <row r="5" spans="1:24" s="343" customFormat="1" ht="12.75" x14ac:dyDescent="0.2">
      <c r="A5" s="325" t="s">
        <v>104</v>
      </c>
      <c r="B5" s="339" t="s">
        <v>105</v>
      </c>
      <c r="C5" s="326"/>
      <c r="D5" s="327"/>
      <c r="E5" s="327"/>
      <c r="F5" s="340"/>
      <c r="G5" s="340"/>
      <c r="H5" s="333"/>
      <c r="I5" s="341"/>
      <c r="J5" s="331"/>
      <c r="K5" s="315"/>
      <c r="L5" s="315"/>
      <c r="M5" s="342"/>
      <c r="N5" s="342"/>
      <c r="P5" s="344"/>
      <c r="Q5" s="344"/>
      <c r="R5" s="344"/>
      <c r="S5" s="344"/>
    </row>
    <row r="6" spans="1:24" x14ac:dyDescent="0.2">
      <c r="A6" s="345"/>
      <c r="B6" s="345"/>
      <c r="C6" s="345"/>
      <c r="D6" s="345"/>
      <c r="E6" s="346"/>
      <c r="F6" s="342"/>
      <c r="G6" s="342"/>
      <c r="H6" s="347"/>
      <c r="I6" s="347"/>
      <c r="J6" s="348"/>
      <c r="K6" s="348"/>
      <c r="L6" s="347"/>
      <c r="M6" s="347"/>
      <c r="O6" s="348"/>
      <c r="P6" s="349"/>
    </row>
    <row r="7" spans="1:24" x14ac:dyDescent="0.2">
      <c r="A7" s="345"/>
      <c r="B7" s="345"/>
      <c r="C7" s="345"/>
      <c r="D7" s="345"/>
      <c r="E7" s="346"/>
      <c r="F7" s="350"/>
      <c r="G7" s="351"/>
      <c r="H7" s="347"/>
      <c r="I7" s="347"/>
      <c r="J7" s="348"/>
      <c r="K7" s="348"/>
      <c r="L7" s="347"/>
      <c r="M7" s="347"/>
      <c r="O7" s="348"/>
      <c r="P7" s="349"/>
    </row>
    <row r="8" spans="1:24" ht="12" thickBot="1" x14ac:dyDescent="0.25">
      <c r="A8" s="345"/>
      <c r="B8" s="345"/>
      <c r="C8" s="352"/>
      <c r="D8" s="352"/>
      <c r="E8" s="353"/>
      <c r="F8" s="348"/>
      <c r="G8" s="348"/>
      <c r="H8" s="322" t="s">
        <v>106</v>
      </c>
      <c r="I8" s="347"/>
      <c r="J8" s="348"/>
      <c r="K8" s="322" t="s">
        <v>107</v>
      </c>
      <c r="L8" s="347"/>
      <c r="M8" s="347"/>
      <c r="O8" s="323" t="s">
        <v>108</v>
      </c>
      <c r="P8" s="349"/>
    </row>
    <row r="9" spans="1:24" x14ac:dyDescent="0.2">
      <c r="A9" s="354"/>
      <c r="B9" s="355"/>
      <c r="C9" s="347"/>
      <c r="D9" s="347"/>
      <c r="E9" s="355"/>
      <c r="F9" s="355"/>
      <c r="G9" s="356"/>
      <c r="H9" s="354"/>
      <c r="I9" s="357"/>
      <c r="J9" s="356"/>
      <c r="K9" s="358"/>
      <c r="L9" s="359"/>
      <c r="M9" s="360"/>
      <c r="P9" s="349"/>
      <c r="W9" s="347"/>
      <c r="X9" s="347"/>
    </row>
    <row r="10" spans="1:24" x14ac:dyDescent="0.2">
      <c r="A10" s="361" t="s">
        <v>109</v>
      </c>
      <c r="B10" s="350" t="s">
        <v>110</v>
      </c>
      <c r="C10" s="362" t="s">
        <v>111</v>
      </c>
      <c r="D10" s="363" t="s">
        <v>112</v>
      </c>
      <c r="E10" s="350" t="s">
        <v>18</v>
      </c>
      <c r="F10" s="364" t="s">
        <v>81</v>
      </c>
      <c r="G10" s="356"/>
      <c r="H10" s="350" t="s">
        <v>113</v>
      </c>
      <c r="I10" s="365" t="s">
        <v>114</v>
      </c>
      <c r="J10" s="348"/>
      <c r="K10" s="366" t="s">
        <v>115</v>
      </c>
      <c r="L10" s="332" t="s">
        <v>116</v>
      </c>
      <c r="M10" s="367" t="s">
        <v>117</v>
      </c>
      <c r="O10" s="322" t="s">
        <v>75</v>
      </c>
      <c r="P10" s="349"/>
      <c r="W10" s="368"/>
    </row>
    <row r="11" spans="1:24" ht="12" thickBot="1" x14ac:dyDescent="0.25">
      <c r="A11" s="369" t="s">
        <v>118</v>
      </c>
      <c r="B11" s="370" t="s">
        <v>118</v>
      </c>
      <c r="C11" s="371" t="s">
        <v>119</v>
      </c>
      <c r="D11" s="372" t="s">
        <v>119</v>
      </c>
      <c r="E11" s="373" t="s">
        <v>83</v>
      </c>
      <c r="F11" s="374"/>
      <c r="G11" s="356"/>
      <c r="H11" s="375"/>
      <c r="I11" s="376" t="s">
        <v>120</v>
      </c>
      <c r="J11" s="348"/>
      <c r="K11" s="377"/>
      <c r="L11" s="378"/>
      <c r="M11" s="379" t="s">
        <v>121</v>
      </c>
      <c r="O11" s="348" t="s">
        <v>84</v>
      </c>
      <c r="P11" s="349"/>
      <c r="W11" s="347"/>
    </row>
    <row r="12" spans="1:24" x14ac:dyDescent="0.2">
      <c r="A12" s="380">
        <v>76.5</v>
      </c>
      <c r="B12" s="380"/>
      <c r="C12" s="355">
        <v>137</v>
      </c>
      <c r="D12" s="381">
        <v>105</v>
      </c>
      <c r="E12" s="382">
        <f>(C12-D12)/A12</f>
        <v>0.41830065359477125</v>
      </c>
      <c r="F12" s="348" t="s">
        <v>122</v>
      </c>
      <c r="G12" s="348"/>
      <c r="H12" s="348" t="s">
        <v>170</v>
      </c>
      <c r="I12" s="348">
        <v>195</v>
      </c>
      <c r="J12" s="348"/>
      <c r="K12" s="348"/>
      <c r="L12" s="348" t="s">
        <v>123</v>
      </c>
      <c r="M12" s="383" t="s">
        <v>124</v>
      </c>
      <c r="O12" s="349">
        <f>I1/I3</f>
        <v>0.96816143497757867</v>
      </c>
      <c r="P12" s="349"/>
    </row>
    <row r="13" spans="1:24" x14ac:dyDescent="0.2">
      <c r="A13" s="380">
        <v>75.5</v>
      </c>
      <c r="B13" s="380"/>
      <c r="C13" s="348">
        <v>146</v>
      </c>
      <c r="D13" s="384">
        <v>105</v>
      </c>
      <c r="E13" s="385">
        <f t="shared" ref="E13:E14" si="0">(C13-D13)/A13</f>
        <v>0.54304635761589404</v>
      </c>
      <c r="F13" s="348"/>
      <c r="G13" s="348"/>
      <c r="H13" s="348" t="s">
        <v>126</v>
      </c>
      <c r="I13" s="348">
        <v>190</v>
      </c>
      <c r="J13" s="348"/>
      <c r="K13" s="348" t="s">
        <v>125</v>
      </c>
      <c r="L13" s="348"/>
      <c r="O13" s="348"/>
      <c r="P13" s="349"/>
    </row>
    <row r="14" spans="1:24" x14ac:dyDescent="0.2">
      <c r="A14" s="380">
        <v>63</v>
      </c>
      <c r="B14" s="380"/>
      <c r="C14" s="348">
        <v>133</v>
      </c>
      <c r="D14" s="384">
        <v>105</v>
      </c>
      <c r="E14" s="385">
        <f t="shared" si="0"/>
        <v>0.44444444444444442</v>
      </c>
      <c r="F14" s="386"/>
      <c r="G14" s="348"/>
      <c r="H14" s="348" t="s">
        <v>126</v>
      </c>
      <c r="I14" s="348">
        <v>194</v>
      </c>
      <c r="J14" s="348"/>
      <c r="K14" s="348"/>
      <c r="L14" s="348"/>
      <c r="O14" s="348"/>
      <c r="P14" s="349"/>
    </row>
    <row r="15" spans="1:24" x14ac:dyDescent="0.2">
      <c r="A15" s="387"/>
      <c r="B15" s="387"/>
      <c r="C15" s="345"/>
      <c r="D15" s="345"/>
      <c r="E15" s="353"/>
      <c r="F15" s="386"/>
      <c r="G15" s="348"/>
      <c r="H15" s="348" t="s">
        <v>126</v>
      </c>
      <c r="I15" s="348">
        <v>205</v>
      </c>
      <c r="J15" s="348"/>
      <c r="K15" s="348" t="s">
        <v>98</v>
      </c>
      <c r="L15" s="348"/>
      <c r="O15" s="348"/>
      <c r="P15" s="349"/>
    </row>
    <row r="16" spans="1:24" ht="15" x14ac:dyDescent="0.25">
      <c r="A16"/>
      <c r="B16"/>
      <c r="C16"/>
      <c r="D16"/>
      <c r="E16"/>
      <c r="F16" s="386"/>
      <c r="G16" s="348"/>
      <c r="H16" s="348" t="s">
        <v>126</v>
      </c>
      <c r="I16" s="348">
        <v>198</v>
      </c>
      <c r="J16" s="348"/>
      <c r="K16" s="348"/>
      <c r="L16" s="348"/>
      <c r="O16" s="348"/>
      <c r="P16" s="349"/>
    </row>
    <row r="17" spans="1:9" s="343" customFormat="1" ht="15" x14ac:dyDescent="0.25">
      <c r="A17"/>
      <c r="B17"/>
      <c r="C17"/>
      <c r="D17"/>
      <c r="E17"/>
      <c r="H17" s="348" t="s">
        <v>127</v>
      </c>
      <c r="I17" s="348">
        <v>191</v>
      </c>
    </row>
    <row r="18" spans="1:9" s="342" customFormat="1" ht="15" x14ac:dyDescent="0.25">
      <c r="A18"/>
      <c r="B18"/>
      <c r="C18"/>
      <c r="D18"/>
      <c r="E18"/>
      <c r="H18" s="348" t="s">
        <v>127</v>
      </c>
      <c r="I18" s="388">
        <v>206</v>
      </c>
    </row>
    <row r="19" spans="1:9" s="343" customFormat="1" ht="13.35" customHeight="1" x14ac:dyDescent="0.2">
      <c r="H19" s="348" t="s">
        <v>127</v>
      </c>
      <c r="I19" s="388">
        <v>212</v>
      </c>
    </row>
    <row r="20" spans="1:9" s="389" customFormat="1" ht="15" x14ac:dyDescent="0.25">
      <c r="A20"/>
      <c r="B20"/>
      <c r="C20"/>
      <c r="D20"/>
      <c r="E20"/>
      <c r="F20"/>
      <c r="H20" s="348" t="s">
        <v>127</v>
      </c>
      <c r="I20" s="390">
        <v>212</v>
      </c>
    </row>
    <row r="21" spans="1:9" s="392" customFormat="1" ht="13.35" customHeight="1" x14ac:dyDescent="0.25">
      <c r="A21" s="391"/>
      <c r="B21" s="391"/>
      <c r="C21" s="391"/>
      <c r="D21" s="391"/>
      <c r="E21" s="391"/>
      <c r="F21"/>
      <c r="H21" s="348" t="s">
        <v>127</v>
      </c>
      <c r="I21" s="393">
        <v>204</v>
      </c>
    </row>
    <row r="22" spans="1:9" s="392" customFormat="1" ht="15" x14ac:dyDescent="0.25">
      <c r="A22"/>
      <c r="B22"/>
      <c r="C22"/>
      <c r="D22"/>
      <c r="E22"/>
      <c r="F22"/>
    </row>
    <row r="23" spans="1:9" s="392" customFormat="1" ht="15" x14ac:dyDescent="0.25">
      <c r="A23"/>
      <c r="B23"/>
      <c r="C23"/>
      <c r="D23"/>
      <c r="E23"/>
      <c r="F23"/>
    </row>
    <row r="24" spans="1:9" s="392" customFormat="1" ht="15" x14ac:dyDescent="0.25">
      <c r="A24"/>
      <c r="B24"/>
      <c r="C24"/>
      <c r="D24"/>
      <c r="E24"/>
      <c r="F24"/>
    </row>
    <row r="25" spans="1:9" s="392" customFormat="1" x14ac:dyDescent="0.25"/>
    <row r="26" spans="1:9" s="394" customFormat="1" x14ac:dyDescent="0.25"/>
    <row r="27" spans="1:9" s="394" customFormat="1" x14ac:dyDescent="0.25"/>
    <row r="28" spans="1:9" s="394" customFormat="1" x14ac:dyDescent="0.25"/>
    <row r="29" spans="1:9" s="394" customFormat="1" x14ac:dyDescent="0.25"/>
    <row r="30" spans="1:9" s="394" customFormat="1" x14ac:dyDescent="0.25"/>
    <row r="31" spans="1:9" s="394" customFormat="1" x14ac:dyDescent="0.25"/>
    <row r="32" spans="1:9" s="394" customFormat="1" x14ac:dyDescent="0.25"/>
    <row r="33" spans="1:19" s="394" customFormat="1" x14ac:dyDescent="0.25"/>
    <row r="34" spans="1:19" x14ac:dyDescent="0.2">
      <c r="A34" s="394"/>
      <c r="C34" s="348"/>
      <c r="D34" s="348"/>
      <c r="E34" s="348"/>
      <c r="F34" s="348"/>
      <c r="G34" s="348"/>
      <c r="H34" s="348"/>
      <c r="I34" s="348"/>
      <c r="J34" s="348"/>
      <c r="K34" s="348"/>
      <c r="L34" s="348"/>
      <c r="O34" s="348"/>
      <c r="P34" s="348"/>
      <c r="Q34" s="348"/>
      <c r="R34" s="348"/>
      <c r="S34" s="348"/>
    </row>
    <row r="35" spans="1:19" x14ac:dyDescent="0.2">
      <c r="A35" s="394"/>
      <c r="C35" s="348"/>
      <c r="D35" s="348"/>
      <c r="E35" s="348"/>
      <c r="F35" s="348"/>
      <c r="G35" s="348"/>
      <c r="H35" s="348"/>
      <c r="I35" s="348"/>
      <c r="J35" s="348"/>
      <c r="K35" s="348"/>
      <c r="L35" s="348"/>
      <c r="O35" s="348"/>
      <c r="P35" s="348"/>
      <c r="Q35" s="348"/>
      <c r="R35" s="348"/>
      <c r="S35" s="348"/>
    </row>
    <row r="36" spans="1:19" ht="15" x14ac:dyDescent="0.25">
      <c r="A36" s="394"/>
      <c r="C36"/>
      <c r="D36" s="348"/>
      <c r="E36" s="348"/>
      <c r="F36" s="348"/>
      <c r="G36" s="348"/>
      <c r="H36" s="348"/>
      <c r="I36" s="348"/>
      <c r="J36" s="348"/>
      <c r="K36" s="348"/>
      <c r="L36" s="348"/>
      <c r="O36" s="348"/>
      <c r="P36" s="348"/>
      <c r="Q36" s="348"/>
      <c r="R36" s="348"/>
      <c r="S36" s="348"/>
    </row>
    <row r="37" spans="1:19" x14ac:dyDescent="0.2">
      <c r="A37" s="394"/>
      <c r="C37" s="348"/>
      <c r="D37" s="348"/>
      <c r="E37" s="348"/>
      <c r="F37" s="348"/>
      <c r="G37" s="348"/>
      <c r="H37" s="348"/>
      <c r="I37" s="348"/>
      <c r="J37" s="348"/>
      <c r="K37" s="348"/>
      <c r="L37" s="348"/>
      <c r="O37" s="348"/>
      <c r="P37" s="348"/>
      <c r="Q37" s="348"/>
      <c r="R37" s="348"/>
      <c r="S37" s="348"/>
    </row>
    <row r="38" spans="1:19" x14ac:dyDescent="0.2">
      <c r="A38" s="394"/>
      <c r="C38" s="348"/>
      <c r="D38" s="348"/>
      <c r="E38" s="348"/>
      <c r="F38" s="348"/>
      <c r="G38" s="348"/>
      <c r="H38" s="348"/>
      <c r="I38" s="348"/>
      <c r="J38" s="348"/>
      <c r="K38" s="348"/>
      <c r="L38" s="348"/>
      <c r="O38" s="348"/>
      <c r="P38" s="348"/>
      <c r="Q38" s="348"/>
      <c r="R38" s="348"/>
      <c r="S38" s="348"/>
    </row>
    <row r="39" spans="1:19" x14ac:dyDescent="0.2">
      <c r="C39" s="348"/>
      <c r="D39" s="348"/>
      <c r="E39" s="348"/>
      <c r="F39" s="348"/>
      <c r="G39" s="348"/>
      <c r="H39" s="348"/>
      <c r="I39" s="348"/>
      <c r="J39" s="348"/>
      <c r="K39" s="348"/>
      <c r="L39" s="348"/>
      <c r="O39" s="348"/>
      <c r="P39" s="348"/>
      <c r="Q39" s="348"/>
      <c r="R39" s="348"/>
      <c r="S39" s="348"/>
    </row>
    <row r="40" spans="1:19" x14ac:dyDescent="0.2">
      <c r="C40" s="348"/>
      <c r="D40" s="348"/>
      <c r="E40" s="348"/>
      <c r="F40" s="348"/>
      <c r="G40" s="348"/>
      <c r="H40" s="348"/>
      <c r="I40" s="348"/>
      <c r="J40" s="348"/>
      <c r="K40" s="348"/>
      <c r="L40" s="348"/>
      <c r="O40" s="348"/>
      <c r="P40" s="348"/>
      <c r="Q40" s="348"/>
      <c r="R40" s="348"/>
      <c r="S40" s="348"/>
    </row>
    <row r="41" spans="1:19" x14ac:dyDescent="0.2">
      <c r="C41" s="348"/>
      <c r="D41" s="348"/>
      <c r="E41" s="348"/>
      <c r="F41" s="348"/>
      <c r="G41" s="348"/>
      <c r="H41" s="348"/>
      <c r="I41" s="348"/>
      <c r="J41" s="348"/>
      <c r="K41" s="348"/>
      <c r="L41" s="348"/>
      <c r="O41" s="348"/>
      <c r="P41" s="348"/>
      <c r="Q41" s="348"/>
      <c r="R41" s="348"/>
      <c r="S41" s="348"/>
    </row>
    <row r="42" spans="1:19" x14ac:dyDescent="0.2">
      <c r="C42" s="348"/>
      <c r="D42" s="348"/>
      <c r="E42" s="348"/>
      <c r="F42" s="348"/>
      <c r="G42" s="348"/>
      <c r="H42" s="348"/>
      <c r="I42" s="348"/>
      <c r="J42" s="348"/>
      <c r="K42" s="348"/>
      <c r="L42" s="348"/>
      <c r="O42" s="348"/>
      <c r="P42" s="348"/>
      <c r="Q42" s="348"/>
      <c r="R42" s="348"/>
      <c r="S42" s="348"/>
    </row>
    <row r="43" spans="1:19" x14ac:dyDescent="0.2">
      <c r="C43" s="348"/>
      <c r="D43" s="348"/>
      <c r="E43" s="348"/>
      <c r="F43" s="348"/>
      <c r="G43" s="348"/>
      <c r="H43" s="348"/>
      <c r="I43" s="348"/>
      <c r="J43" s="348"/>
      <c r="K43" s="348"/>
      <c r="L43" s="348"/>
      <c r="O43" s="348"/>
      <c r="P43" s="348"/>
      <c r="Q43" s="348"/>
      <c r="R43" s="348"/>
      <c r="S43" s="348"/>
    </row>
    <row r="44" spans="1:19" x14ac:dyDescent="0.2">
      <c r="C44" s="348"/>
      <c r="D44" s="348"/>
      <c r="E44" s="348"/>
      <c r="F44" s="348"/>
      <c r="G44" s="348"/>
      <c r="H44" s="348"/>
      <c r="I44" s="348"/>
      <c r="J44" s="348"/>
      <c r="K44" s="348"/>
      <c r="L44" s="348"/>
      <c r="O44" s="348"/>
      <c r="P44" s="348"/>
      <c r="Q44" s="348"/>
      <c r="R44" s="348"/>
      <c r="S44" s="348"/>
    </row>
    <row r="45" spans="1:19" x14ac:dyDescent="0.2">
      <c r="C45" s="348"/>
      <c r="D45" s="348"/>
      <c r="E45" s="348"/>
      <c r="F45" s="348"/>
      <c r="G45" s="348"/>
      <c r="H45" s="348"/>
      <c r="I45" s="347"/>
      <c r="J45" s="348"/>
      <c r="K45" s="348"/>
      <c r="L45" s="347"/>
      <c r="M45" s="347"/>
      <c r="O45" s="348"/>
      <c r="P45" s="349"/>
    </row>
    <row r="46" spans="1:19" x14ac:dyDescent="0.2">
      <c r="C46" s="348"/>
      <c r="D46" s="348"/>
      <c r="E46" s="348"/>
      <c r="F46" s="348"/>
      <c r="G46" s="348"/>
      <c r="H46" s="348"/>
      <c r="I46" s="347"/>
      <c r="J46" s="348"/>
      <c r="K46" s="348"/>
      <c r="L46" s="347"/>
      <c r="M46" s="347"/>
      <c r="O46" s="348"/>
      <c r="P46" s="349"/>
    </row>
    <row r="47" spans="1:19" x14ac:dyDescent="0.2">
      <c r="C47" s="348"/>
      <c r="D47" s="348"/>
      <c r="E47" s="348"/>
      <c r="F47" s="348"/>
      <c r="G47" s="348"/>
      <c r="H47" s="348"/>
      <c r="I47" s="347"/>
      <c r="J47" s="348"/>
      <c r="K47" s="348"/>
      <c r="L47" s="347"/>
      <c r="M47" s="347"/>
      <c r="O47" s="348"/>
      <c r="P47" s="349"/>
    </row>
    <row r="48" spans="1:19" x14ac:dyDescent="0.2">
      <c r="C48" s="348"/>
      <c r="D48" s="348"/>
      <c r="E48" s="348"/>
      <c r="F48" s="348"/>
      <c r="G48" s="348"/>
      <c r="H48" s="348"/>
      <c r="I48" s="348"/>
      <c r="J48" s="395"/>
      <c r="K48" s="348"/>
      <c r="L48" s="347"/>
      <c r="M48" s="347"/>
      <c r="O48" s="348"/>
      <c r="P48" s="349"/>
    </row>
    <row r="49" spans="1:26" x14ac:dyDescent="0.2">
      <c r="C49" s="348"/>
      <c r="D49" s="348"/>
      <c r="E49" s="348"/>
      <c r="F49" s="348"/>
      <c r="G49" s="348"/>
      <c r="H49" s="348"/>
      <c r="I49" s="348"/>
      <c r="J49" s="395"/>
      <c r="K49" s="348"/>
      <c r="L49" s="347"/>
      <c r="M49" s="347"/>
      <c r="O49" s="348"/>
      <c r="P49" s="349"/>
    </row>
    <row r="50" spans="1:26" x14ac:dyDescent="0.2">
      <c r="A50" s="345"/>
      <c r="B50" s="345"/>
      <c r="C50" s="345"/>
      <c r="D50" s="345"/>
      <c r="E50" s="353"/>
      <c r="F50" s="386"/>
      <c r="G50" s="348"/>
      <c r="H50" s="348"/>
      <c r="I50" s="347"/>
      <c r="J50" s="348"/>
      <c r="K50" s="348"/>
      <c r="L50" s="347"/>
      <c r="M50" s="347"/>
      <c r="O50" s="348"/>
      <c r="P50" s="349"/>
    </row>
    <row r="51" spans="1:26" x14ac:dyDescent="0.2">
      <c r="A51" s="345"/>
      <c r="B51" s="345"/>
      <c r="C51" s="345"/>
      <c r="D51" s="345"/>
      <c r="E51" s="353"/>
      <c r="F51" s="386"/>
      <c r="G51" s="348"/>
      <c r="H51" s="348"/>
      <c r="I51" s="347"/>
      <c r="J51" s="348"/>
      <c r="K51" s="348"/>
      <c r="L51" s="347"/>
      <c r="M51" s="347"/>
      <c r="O51" s="348"/>
      <c r="P51" s="349"/>
    </row>
    <row r="52" spans="1:26" x14ac:dyDescent="0.2">
      <c r="A52" s="345"/>
      <c r="B52" s="345"/>
      <c r="C52" s="345"/>
      <c r="D52" s="345"/>
      <c r="E52" s="353"/>
      <c r="F52" s="386"/>
      <c r="G52" s="348"/>
      <c r="H52" s="348"/>
      <c r="I52" s="347"/>
      <c r="J52" s="348"/>
      <c r="K52" s="348"/>
      <c r="L52" s="347"/>
      <c r="M52" s="347"/>
      <c r="O52" s="348"/>
      <c r="P52" s="349"/>
    </row>
    <row r="53" spans="1:26" x14ac:dyDescent="0.2">
      <c r="A53" s="345"/>
      <c r="B53" s="345"/>
      <c r="C53" s="345"/>
      <c r="D53" s="345"/>
      <c r="E53" s="353"/>
      <c r="F53" s="386"/>
      <c r="G53" s="348"/>
      <c r="H53" s="348"/>
      <c r="I53" s="347"/>
      <c r="J53" s="348"/>
      <c r="K53" s="348"/>
      <c r="L53" s="347"/>
      <c r="M53" s="347"/>
      <c r="O53" s="348"/>
      <c r="P53" s="349"/>
    </row>
    <row r="54" spans="1:26" x14ac:dyDescent="0.2">
      <c r="A54" s="345"/>
      <c r="B54" s="345"/>
      <c r="C54" s="345"/>
      <c r="D54" s="345"/>
      <c r="E54" s="353"/>
      <c r="F54" s="386"/>
      <c r="G54" s="348"/>
      <c r="H54" s="348"/>
      <c r="I54" s="347"/>
      <c r="J54" s="348"/>
      <c r="K54" s="348"/>
      <c r="L54" s="347"/>
      <c r="M54" s="347"/>
      <c r="O54" s="348"/>
      <c r="P54" s="349"/>
    </row>
    <row r="55" spans="1:26" x14ac:dyDescent="0.2">
      <c r="A55" s="345"/>
      <c r="B55" s="345"/>
      <c r="C55" s="345"/>
      <c r="D55" s="345"/>
      <c r="E55" s="353"/>
      <c r="F55" s="386"/>
      <c r="G55" s="348"/>
      <c r="H55" s="348"/>
      <c r="I55" s="347"/>
      <c r="J55" s="348"/>
      <c r="K55" s="348"/>
      <c r="L55" s="347"/>
      <c r="O55" s="348"/>
      <c r="P55" s="349"/>
      <c r="W55" s="347"/>
      <c r="X55" s="347"/>
    </row>
    <row r="56" spans="1:26" x14ac:dyDescent="0.2">
      <c r="A56" s="345"/>
      <c r="B56" s="345"/>
      <c r="C56" s="345"/>
      <c r="D56" s="345"/>
      <c r="E56" s="353"/>
      <c r="F56" s="386"/>
      <c r="G56" s="348"/>
      <c r="H56" s="348"/>
      <c r="I56" s="347"/>
      <c r="J56" s="348"/>
      <c r="K56" s="348"/>
      <c r="L56" s="347"/>
      <c r="O56" s="348"/>
      <c r="P56" s="349"/>
      <c r="W56" s="368"/>
      <c r="X56" s="347"/>
      <c r="Y56" s="347"/>
      <c r="Z56" s="347"/>
    </row>
    <row r="57" spans="1:26" x14ac:dyDescent="0.2">
      <c r="A57" s="345"/>
      <c r="B57" s="345"/>
      <c r="C57" s="345"/>
      <c r="D57" s="345"/>
      <c r="E57" s="353"/>
      <c r="F57" s="386"/>
      <c r="G57" s="348"/>
      <c r="H57" s="348"/>
      <c r="I57" s="347"/>
      <c r="J57" s="348"/>
      <c r="K57" s="348"/>
      <c r="L57" s="348"/>
      <c r="O57" s="348"/>
      <c r="P57" s="349"/>
      <c r="W57" s="368"/>
    </row>
    <row r="58" spans="1:26" x14ac:dyDescent="0.2">
      <c r="A58" s="345"/>
      <c r="B58" s="345"/>
      <c r="C58" s="345"/>
      <c r="D58" s="345"/>
      <c r="E58" s="353"/>
      <c r="F58" s="386"/>
      <c r="G58" s="348"/>
      <c r="H58" s="348"/>
      <c r="I58" s="347"/>
      <c r="J58" s="348"/>
      <c r="K58" s="348"/>
      <c r="L58" s="348"/>
      <c r="O58" s="348"/>
      <c r="P58" s="349"/>
      <c r="W58" s="347"/>
    </row>
    <row r="59" spans="1:26" x14ac:dyDescent="0.2">
      <c r="A59" s="345"/>
      <c r="B59" s="345"/>
      <c r="C59" s="345"/>
      <c r="D59" s="345"/>
      <c r="E59" s="353"/>
      <c r="F59" s="386"/>
      <c r="G59" s="348"/>
      <c r="H59" s="348"/>
      <c r="I59" s="347"/>
      <c r="J59" s="348"/>
      <c r="K59" s="348"/>
      <c r="L59" s="348"/>
      <c r="O59" s="348"/>
      <c r="P59" s="349"/>
    </row>
    <row r="60" spans="1:26" x14ac:dyDescent="0.2">
      <c r="A60" s="345"/>
      <c r="B60" s="345"/>
      <c r="C60" s="345"/>
      <c r="D60" s="345"/>
      <c r="E60" s="353"/>
      <c r="F60" s="386"/>
      <c r="G60" s="348"/>
      <c r="H60" s="348"/>
      <c r="I60" s="347"/>
      <c r="J60" s="348"/>
      <c r="K60" s="348"/>
      <c r="L60" s="348"/>
      <c r="O60" s="348"/>
      <c r="P60" s="349"/>
    </row>
    <row r="61" spans="1:26" x14ac:dyDescent="0.2">
      <c r="A61" s="345"/>
      <c r="B61" s="345"/>
      <c r="C61" s="345"/>
      <c r="D61" s="345"/>
      <c r="E61" s="353"/>
      <c r="F61" s="386"/>
      <c r="G61" s="348"/>
      <c r="H61" s="348"/>
      <c r="I61" s="347"/>
      <c r="J61" s="348"/>
      <c r="K61" s="348"/>
      <c r="L61" s="348"/>
      <c r="O61" s="348"/>
      <c r="P61" s="349"/>
    </row>
    <row r="62" spans="1:26" x14ac:dyDescent="0.2">
      <c r="A62" s="345"/>
      <c r="B62" s="345"/>
      <c r="C62" s="345"/>
      <c r="D62" s="345"/>
      <c r="E62" s="353"/>
      <c r="F62" s="386"/>
      <c r="G62" s="348"/>
      <c r="H62" s="348"/>
      <c r="I62" s="347"/>
      <c r="J62" s="348"/>
      <c r="K62" s="348"/>
      <c r="L62" s="348"/>
      <c r="O62" s="348"/>
      <c r="P62" s="349"/>
    </row>
    <row r="63" spans="1:26" x14ac:dyDescent="0.2">
      <c r="A63" s="345"/>
      <c r="B63" s="345"/>
      <c r="C63" s="345"/>
      <c r="D63" s="345"/>
      <c r="E63" s="353"/>
      <c r="F63" s="386"/>
      <c r="G63" s="348"/>
      <c r="H63" s="348"/>
      <c r="I63" s="347"/>
      <c r="J63" s="348"/>
      <c r="K63" s="348"/>
      <c r="L63" s="348"/>
      <c r="O63" s="348"/>
      <c r="P63" s="349"/>
    </row>
    <row r="64" spans="1:26" x14ac:dyDescent="0.2">
      <c r="A64" s="345"/>
      <c r="B64" s="345"/>
      <c r="C64" s="345"/>
      <c r="D64" s="345"/>
      <c r="E64" s="353"/>
      <c r="F64" s="386"/>
      <c r="G64" s="348"/>
      <c r="H64" s="348"/>
      <c r="I64" s="347"/>
      <c r="J64" s="348"/>
      <c r="K64" s="348"/>
      <c r="L64" s="348"/>
      <c r="O64" s="348"/>
      <c r="P64" s="349"/>
    </row>
    <row r="65" spans="1:22" x14ac:dyDescent="0.2">
      <c r="A65" s="345"/>
      <c r="B65" s="345"/>
      <c r="C65" s="345"/>
      <c r="D65" s="345"/>
      <c r="E65" s="353"/>
      <c r="F65" s="386"/>
      <c r="G65" s="348"/>
      <c r="H65" s="348"/>
      <c r="I65" s="347"/>
      <c r="J65" s="348"/>
      <c r="K65" s="348"/>
      <c r="L65" s="348"/>
      <c r="O65" s="348"/>
      <c r="P65" s="349"/>
    </row>
    <row r="66" spans="1:22" x14ac:dyDescent="0.2">
      <c r="A66" s="345"/>
      <c r="B66" s="345"/>
      <c r="C66" s="345"/>
      <c r="D66" s="345"/>
      <c r="E66" s="353"/>
      <c r="F66" s="386"/>
      <c r="G66" s="348"/>
      <c r="H66" s="348"/>
      <c r="I66" s="347"/>
      <c r="J66" s="348"/>
      <c r="K66" s="348"/>
      <c r="L66" s="348"/>
      <c r="O66" s="348"/>
      <c r="P66" s="349"/>
    </row>
    <row r="67" spans="1:22" x14ac:dyDescent="0.2">
      <c r="A67" s="345"/>
      <c r="B67" s="345"/>
      <c r="C67" s="345"/>
      <c r="D67" s="345"/>
      <c r="E67" s="353"/>
      <c r="F67" s="386"/>
      <c r="G67" s="348"/>
      <c r="H67" s="348"/>
      <c r="I67" s="347"/>
      <c r="J67" s="348"/>
      <c r="K67" s="348"/>
      <c r="L67" s="348"/>
      <c r="O67" s="348"/>
      <c r="P67" s="349"/>
    </row>
    <row r="68" spans="1:22" x14ac:dyDescent="0.2">
      <c r="A68" s="345"/>
      <c r="B68" s="345"/>
      <c r="C68" s="345"/>
      <c r="D68" s="345"/>
      <c r="E68" s="353"/>
      <c r="F68" s="386"/>
      <c r="G68" s="349"/>
      <c r="H68" s="348"/>
      <c r="I68" s="347"/>
      <c r="J68" s="348"/>
      <c r="K68" s="348"/>
      <c r="L68" s="348"/>
      <c r="O68" s="348"/>
      <c r="P68" s="349"/>
    </row>
    <row r="69" spans="1:22" x14ac:dyDescent="0.2">
      <c r="A69" s="345"/>
      <c r="B69" s="345"/>
      <c r="C69" s="345"/>
      <c r="D69" s="345"/>
      <c r="E69" s="353"/>
      <c r="F69" s="386"/>
      <c r="G69" s="349"/>
      <c r="H69" s="348"/>
      <c r="I69" s="347"/>
      <c r="J69" s="348"/>
      <c r="K69" s="348"/>
      <c r="L69" s="348"/>
      <c r="O69" s="348"/>
      <c r="P69" s="349"/>
    </row>
    <row r="70" spans="1:22" x14ac:dyDescent="0.2">
      <c r="A70" s="345"/>
      <c r="B70" s="345"/>
      <c r="C70" s="345"/>
      <c r="D70" s="345"/>
      <c r="E70" s="353"/>
      <c r="F70" s="386"/>
      <c r="G70" s="349"/>
      <c r="H70" s="348"/>
      <c r="I70" s="347"/>
      <c r="J70" s="348"/>
      <c r="K70" s="348"/>
      <c r="L70" s="348"/>
      <c r="O70" s="348"/>
      <c r="P70" s="349"/>
    </row>
    <row r="71" spans="1:22" x14ac:dyDescent="0.2">
      <c r="A71" s="345"/>
      <c r="B71" s="345"/>
      <c r="C71" s="345"/>
      <c r="D71" s="345"/>
      <c r="E71" s="353"/>
      <c r="F71" s="386"/>
      <c r="G71" s="349"/>
      <c r="H71" s="348"/>
      <c r="I71" s="347"/>
      <c r="J71" s="348"/>
      <c r="K71" s="348"/>
      <c r="L71" s="348"/>
      <c r="O71" s="348"/>
      <c r="P71" s="349"/>
    </row>
    <row r="72" spans="1:22" x14ac:dyDescent="0.2">
      <c r="A72" s="345"/>
      <c r="B72" s="345"/>
      <c r="C72" s="345"/>
      <c r="D72" s="345"/>
      <c r="E72" s="353"/>
      <c r="F72" s="386"/>
      <c r="G72" s="348"/>
      <c r="H72" s="348"/>
      <c r="I72" s="347"/>
      <c r="J72" s="348"/>
      <c r="K72" s="348"/>
      <c r="L72" s="348"/>
      <c r="O72" s="348"/>
      <c r="P72" s="349"/>
    </row>
    <row r="73" spans="1:22" x14ac:dyDescent="0.2">
      <c r="A73" s="345"/>
      <c r="B73" s="345"/>
      <c r="C73" s="345"/>
      <c r="D73" s="345"/>
      <c r="E73" s="353"/>
      <c r="F73" s="386"/>
      <c r="G73" s="348"/>
      <c r="H73" s="348"/>
      <c r="I73" s="347"/>
      <c r="J73" s="348"/>
      <c r="K73" s="348"/>
      <c r="L73" s="348"/>
      <c r="O73" s="348"/>
      <c r="P73" s="349"/>
    </row>
    <row r="74" spans="1:22" x14ac:dyDescent="0.2">
      <c r="A74" s="345"/>
      <c r="B74" s="345"/>
      <c r="C74" s="345"/>
      <c r="D74" s="345"/>
      <c r="E74" s="353"/>
      <c r="F74" s="386"/>
      <c r="G74" s="348"/>
      <c r="H74" s="348"/>
      <c r="I74" s="347"/>
      <c r="J74" s="348"/>
      <c r="K74" s="348"/>
      <c r="L74" s="348"/>
      <c r="O74" s="348"/>
      <c r="P74" s="349"/>
      <c r="R74" s="384"/>
      <c r="S74" s="384"/>
      <c r="T74" s="345"/>
      <c r="U74" s="345"/>
      <c r="V74" s="345"/>
    </row>
    <row r="75" spans="1:22" x14ac:dyDescent="0.2">
      <c r="A75" s="345"/>
      <c r="B75" s="345"/>
      <c r="C75" s="345"/>
      <c r="D75" s="345"/>
      <c r="E75" s="353"/>
      <c r="F75" s="386"/>
      <c r="G75" s="348"/>
      <c r="H75" s="348"/>
      <c r="I75" s="347"/>
      <c r="J75" s="348"/>
      <c r="K75" s="348"/>
      <c r="L75" s="348"/>
      <c r="O75" s="348"/>
      <c r="P75" s="349"/>
      <c r="R75" s="384"/>
      <c r="S75" s="384"/>
      <c r="T75" s="345"/>
      <c r="U75" s="345"/>
      <c r="V75" s="345"/>
    </row>
    <row r="76" spans="1:22" x14ac:dyDescent="0.2">
      <c r="A76" s="345"/>
      <c r="B76" s="345"/>
      <c r="C76" s="345"/>
      <c r="D76" s="345"/>
      <c r="E76" s="353"/>
      <c r="F76" s="386"/>
      <c r="G76" s="348"/>
      <c r="H76" s="348"/>
      <c r="I76" s="347"/>
      <c r="J76" s="348"/>
      <c r="K76" s="348"/>
      <c r="L76" s="348"/>
      <c r="O76" s="348"/>
      <c r="P76" s="349"/>
      <c r="R76" s="384"/>
      <c r="S76" s="384"/>
      <c r="T76" s="345"/>
      <c r="U76" s="345"/>
      <c r="V76" s="345"/>
    </row>
    <row r="77" spans="1:22" x14ac:dyDescent="0.2">
      <c r="A77" s="345"/>
      <c r="B77" s="345"/>
      <c r="C77" s="345"/>
      <c r="D77" s="345"/>
      <c r="E77" s="353"/>
      <c r="F77" s="386"/>
      <c r="G77" s="348"/>
      <c r="H77" s="348"/>
      <c r="I77" s="347"/>
      <c r="J77" s="348"/>
      <c r="K77" s="348"/>
      <c r="L77" s="348"/>
      <c r="O77" s="348"/>
      <c r="P77" s="349"/>
      <c r="R77" s="384"/>
      <c r="S77" s="384"/>
      <c r="T77" s="345"/>
      <c r="U77" s="345"/>
      <c r="V77" s="345"/>
    </row>
    <row r="78" spans="1:22" x14ac:dyDescent="0.2">
      <c r="A78" s="345"/>
      <c r="B78" s="345"/>
      <c r="C78" s="345"/>
      <c r="D78" s="345"/>
      <c r="E78" s="353"/>
      <c r="F78" s="386"/>
      <c r="G78" s="348"/>
      <c r="H78" s="348"/>
      <c r="I78" s="347"/>
      <c r="J78" s="348"/>
      <c r="K78" s="348"/>
      <c r="L78" s="348"/>
      <c r="O78" s="348"/>
      <c r="P78" s="349"/>
      <c r="R78" s="384"/>
      <c r="S78" s="384"/>
      <c r="T78" s="345"/>
      <c r="U78" s="345"/>
      <c r="V78" s="345"/>
    </row>
    <row r="79" spans="1:22" x14ac:dyDescent="0.2">
      <c r="A79" s="345"/>
      <c r="B79" s="345"/>
      <c r="C79" s="345"/>
      <c r="D79" s="345"/>
      <c r="E79" s="353"/>
      <c r="F79" s="386"/>
      <c r="G79" s="348"/>
      <c r="H79" s="348"/>
      <c r="I79" s="347"/>
      <c r="J79" s="348"/>
      <c r="K79" s="348"/>
      <c r="L79" s="348"/>
      <c r="N79" s="345"/>
      <c r="O79" s="345"/>
      <c r="P79" s="384"/>
      <c r="Q79" s="384"/>
      <c r="R79" s="384"/>
      <c r="S79" s="384"/>
      <c r="T79" s="345"/>
      <c r="U79" s="345"/>
      <c r="V79" s="345"/>
    </row>
    <row r="80" spans="1:22" x14ac:dyDescent="0.2">
      <c r="A80" s="345"/>
      <c r="B80" s="345"/>
      <c r="C80" s="345"/>
      <c r="D80" s="345"/>
      <c r="E80" s="353"/>
      <c r="F80" s="386"/>
      <c r="G80" s="348"/>
      <c r="H80" s="348"/>
      <c r="I80" s="347"/>
      <c r="J80" s="348"/>
      <c r="K80" s="348"/>
      <c r="L80" s="348"/>
      <c r="N80" s="345"/>
      <c r="O80" s="345"/>
      <c r="P80" s="384"/>
      <c r="Q80" s="384"/>
      <c r="R80" s="384"/>
      <c r="S80" s="384"/>
      <c r="T80" s="345"/>
      <c r="U80" s="345"/>
      <c r="V80" s="345"/>
    </row>
    <row r="81" spans="1:22" x14ac:dyDescent="0.2">
      <c r="A81" s="345"/>
      <c r="B81" s="345"/>
      <c r="C81" s="345"/>
      <c r="D81" s="345"/>
      <c r="E81" s="353"/>
      <c r="F81" s="386"/>
      <c r="G81" s="348"/>
      <c r="H81" s="348"/>
      <c r="I81" s="347"/>
      <c r="J81" s="348"/>
      <c r="K81" s="348"/>
      <c r="L81" s="348"/>
      <c r="N81" s="345"/>
      <c r="O81" s="345"/>
      <c r="P81" s="384"/>
      <c r="Q81" s="384"/>
      <c r="R81" s="384"/>
      <c r="S81" s="384"/>
      <c r="T81" s="345"/>
      <c r="U81" s="345"/>
      <c r="V81" s="345"/>
    </row>
    <row r="82" spans="1:22" x14ac:dyDescent="0.2">
      <c r="A82" s="345"/>
      <c r="B82" s="345"/>
      <c r="C82" s="345"/>
      <c r="D82" s="345"/>
      <c r="E82" s="353"/>
      <c r="F82" s="386"/>
      <c r="G82" s="348"/>
      <c r="H82" s="348"/>
      <c r="I82" s="347"/>
      <c r="J82" s="348"/>
      <c r="K82" s="348"/>
      <c r="L82" s="348"/>
      <c r="N82" s="345"/>
      <c r="O82" s="345"/>
      <c r="P82" s="384"/>
      <c r="Q82" s="384"/>
      <c r="R82" s="384"/>
      <c r="S82" s="384"/>
      <c r="T82" s="345"/>
      <c r="U82" s="345"/>
      <c r="V82" s="345"/>
    </row>
    <row r="83" spans="1:22" x14ac:dyDescent="0.2">
      <c r="A83" s="345"/>
      <c r="B83" s="345"/>
      <c r="C83" s="345"/>
      <c r="D83" s="345"/>
      <c r="E83" s="353"/>
      <c r="F83" s="386"/>
      <c r="G83" s="348"/>
      <c r="H83" s="348"/>
      <c r="I83" s="347"/>
      <c r="J83" s="348"/>
      <c r="K83" s="348"/>
      <c r="L83" s="348"/>
      <c r="N83" s="345"/>
      <c r="O83" s="345"/>
      <c r="P83" s="384"/>
      <c r="Q83" s="384"/>
      <c r="R83" s="384"/>
      <c r="S83" s="384"/>
      <c r="T83" s="345"/>
      <c r="U83" s="345"/>
      <c r="V83" s="345"/>
    </row>
    <row r="84" spans="1:22" x14ac:dyDescent="0.2">
      <c r="A84" s="345"/>
      <c r="B84" s="345"/>
      <c r="C84" s="345"/>
      <c r="D84" s="345"/>
      <c r="E84" s="353"/>
      <c r="F84" s="386"/>
      <c r="G84" s="348"/>
      <c r="H84" s="348"/>
      <c r="I84" s="347"/>
      <c r="J84" s="348"/>
      <c r="K84" s="348"/>
      <c r="L84" s="348"/>
      <c r="N84" s="345"/>
      <c r="O84" s="345"/>
      <c r="P84" s="384"/>
      <c r="Q84" s="384"/>
      <c r="R84" s="384"/>
      <c r="S84" s="384"/>
      <c r="T84" s="345"/>
      <c r="U84" s="345"/>
      <c r="V84" s="345"/>
    </row>
    <row r="85" spans="1:22" x14ac:dyDescent="0.2">
      <c r="A85" s="345"/>
      <c r="B85" s="345"/>
      <c r="C85" s="345"/>
      <c r="D85" s="345"/>
      <c r="E85" s="353"/>
      <c r="F85" s="386"/>
      <c r="G85" s="348"/>
      <c r="H85" s="348"/>
      <c r="I85" s="347"/>
      <c r="J85" s="348"/>
      <c r="K85" s="348"/>
      <c r="L85" s="348"/>
      <c r="N85" s="345"/>
      <c r="O85" s="345"/>
      <c r="P85" s="384"/>
      <c r="Q85" s="384"/>
      <c r="R85" s="384"/>
      <c r="S85" s="384"/>
      <c r="T85" s="345"/>
      <c r="U85" s="345"/>
      <c r="V85" s="345"/>
    </row>
    <row r="86" spans="1:22" x14ac:dyDescent="0.2">
      <c r="A86" s="345"/>
      <c r="B86" s="345"/>
      <c r="C86" s="345"/>
      <c r="D86" s="345"/>
      <c r="E86" s="353"/>
      <c r="F86" s="386"/>
      <c r="G86" s="348"/>
      <c r="H86" s="348"/>
      <c r="I86" s="347"/>
      <c r="J86" s="348"/>
      <c r="K86" s="348"/>
      <c r="L86" s="348"/>
      <c r="N86" s="345"/>
      <c r="O86" s="345"/>
      <c r="P86" s="384"/>
      <c r="Q86" s="384"/>
      <c r="R86" s="384"/>
      <c r="S86" s="384"/>
      <c r="T86" s="345"/>
      <c r="U86" s="345"/>
      <c r="V86" s="345"/>
    </row>
    <row r="87" spans="1:22" x14ac:dyDescent="0.2">
      <c r="A87" s="345"/>
      <c r="B87" s="345"/>
      <c r="C87" s="345"/>
      <c r="D87" s="345"/>
      <c r="E87" s="353"/>
      <c r="F87" s="386"/>
      <c r="G87" s="348"/>
      <c r="H87" s="348"/>
      <c r="I87" s="347"/>
      <c r="J87" s="348"/>
      <c r="K87" s="348"/>
      <c r="L87" s="348"/>
      <c r="N87" s="345"/>
      <c r="O87" s="345"/>
      <c r="P87" s="384"/>
      <c r="Q87" s="384"/>
      <c r="R87" s="384"/>
      <c r="S87" s="384"/>
      <c r="T87" s="345"/>
      <c r="U87" s="345"/>
      <c r="V87" s="345"/>
    </row>
    <row r="88" spans="1:22" x14ac:dyDescent="0.2">
      <c r="A88" s="345"/>
      <c r="B88" s="345"/>
      <c r="C88" s="345"/>
      <c r="D88" s="345"/>
      <c r="E88" s="353"/>
      <c r="F88" s="386"/>
      <c r="G88" s="348"/>
      <c r="H88" s="348"/>
      <c r="I88" s="347"/>
      <c r="J88" s="348"/>
      <c r="K88" s="348"/>
      <c r="L88" s="348"/>
      <c r="N88" s="345"/>
      <c r="O88" s="345"/>
      <c r="P88" s="384"/>
      <c r="Q88" s="384"/>
      <c r="R88" s="384"/>
      <c r="S88" s="384"/>
      <c r="T88" s="345"/>
      <c r="U88" s="345"/>
      <c r="V88" s="345"/>
    </row>
    <row r="89" spans="1:22" x14ac:dyDescent="0.2">
      <c r="A89" s="345"/>
      <c r="B89" s="345"/>
      <c r="C89" s="345"/>
      <c r="D89" s="345"/>
      <c r="E89" s="353"/>
      <c r="F89" s="386"/>
      <c r="G89" s="348"/>
      <c r="H89" s="348"/>
      <c r="I89" s="347"/>
      <c r="J89" s="348"/>
      <c r="K89" s="348"/>
      <c r="L89" s="348"/>
      <c r="N89" s="345"/>
      <c r="O89" s="345"/>
      <c r="P89" s="384"/>
      <c r="Q89" s="384"/>
      <c r="R89" s="384"/>
      <c r="S89" s="384"/>
      <c r="T89" s="345"/>
      <c r="U89" s="345"/>
      <c r="V89" s="345"/>
    </row>
    <row r="90" spans="1:22" x14ac:dyDescent="0.2">
      <c r="A90" s="345"/>
      <c r="B90" s="345"/>
      <c r="C90" s="345"/>
      <c r="D90" s="345"/>
      <c r="E90" s="353"/>
      <c r="F90" s="386"/>
      <c r="G90" s="348"/>
      <c r="H90" s="348"/>
      <c r="I90" s="347"/>
      <c r="J90" s="348"/>
      <c r="K90" s="348"/>
      <c r="L90" s="348"/>
      <c r="N90" s="345"/>
      <c r="O90" s="345"/>
      <c r="P90" s="384"/>
      <c r="Q90" s="384"/>
      <c r="R90" s="384"/>
      <c r="S90" s="384"/>
      <c r="T90" s="345"/>
      <c r="U90" s="345"/>
      <c r="V90" s="345"/>
    </row>
    <row r="91" spans="1:22" s="345" customFormat="1" x14ac:dyDescent="0.2">
      <c r="E91" s="353"/>
      <c r="F91" s="386"/>
      <c r="G91" s="348"/>
      <c r="H91" s="348"/>
      <c r="I91" s="347"/>
      <c r="J91" s="348"/>
      <c r="K91" s="348"/>
      <c r="L91" s="348"/>
      <c r="M91" s="348"/>
      <c r="P91" s="384"/>
      <c r="Q91" s="384"/>
      <c r="R91" s="384"/>
      <c r="S91" s="384"/>
    </row>
    <row r="92" spans="1:22" s="345" customFormat="1" x14ac:dyDescent="0.2">
      <c r="E92" s="353"/>
      <c r="F92" s="386"/>
      <c r="G92" s="348"/>
      <c r="H92" s="348"/>
      <c r="I92" s="347"/>
      <c r="J92" s="348"/>
      <c r="K92" s="348"/>
      <c r="L92" s="348"/>
      <c r="M92" s="348"/>
      <c r="P92" s="384"/>
      <c r="Q92" s="384"/>
      <c r="R92" s="384"/>
      <c r="S92" s="384"/>
    </row>
    <row r="93" spans="1:22" s="345" customFormat="1" x14ac:dyDescent="0.2">
      <c r="E93" s="353"/>
      <c r="F93" s="386"/>
      <c r="G93" s="348"/>
      <c r="H93" s="348"/>
      <c r="I93" s="347"/>
      <c r="J93" s="348"/>
      <c r="K93" s="348"/>
      <c r="L93" s="348"/>
      <c r="M93" s="348"/>
      <c r="P93" s="384"/>
      <c r="Q93" s="384"/>
      <c r="R93" s="384"/>
      <c r="S93" s="384"/>
    </row>
    <row r="94" spans="1:22" s="345" customFormat="1" x14ac:dyDescent="0.2">
      <c r="E94" s="353"/>
      <c r="F94" s="386"/>
      <c r="G94" s="348"/>
      <c r="H94" s="348"/>
      <c r="I94" s="347"/>
      <c r="J94" s="348"/>
      <c r="K94" s="348"/>
      <c r="L94" s="348"/>
      <c r="P94" s="384"/>
      <c r="Q94" s="384"/>
      <c r="R94" s="384"/>
      <c r="S94" s="384"/>
    </row>
    <row r="95" spans="1:22" s="345" customFormat="1" x14ac:dyDescent="0.2">
      <c r="E95" s="353"/>
      <c r="F95" s="386"/>
      <c r="G95" s="348"/>
      <c r="H95" s="348"/>
      <c r="I95" s="347"/>
      <c r="J95" s="348"/>
      <c r="K95" s="348"/>
      <c r="L95" s="348"/>
      <c r="P95" s="384"/>
      <c r="Q95" s="384"/>
      <c r="R95" s="384"/>
      <c r="S95" s="384"/>
    </row>
    <row r="96" spans="1:22" s="345" customFormat="1" x14ac:dyDescent="0.2">
      <c r="E96" s="353"/>
      <c r="F96" s="386"/>
      <c r="G96" s="348"/>
      <c r="H96" s="348"/>
      <c r="I96" s="347"/>
      <c r="J96" s="348"/>
      <c r="K96" s="348"/>
      <c r="L96" s="348"/>
      <c r="P96" s="384"/>
      <c r="Q96" s="384"/>
      <c r="R96" s="384"/>
      <c r="S96" s="384"/>
    </row>
    <row r="97" spans="5:19" s="345" customFormat="1" x14ac:dyDescent="0.2">
      <c r="E97" s="353"/>
      <c r="F97" s="386"/>
      <c r="G97" s="348"/>
      <c r="H97" s="348"/>
      <c r="I97" s="347"/>
      <c r="J97" s="348"/>
      <c r="K97" s="348"/>
      <c r="L97" s="348"/>
      <c r="P97" s="384"/>
      <c r="Q97" s="384"/>
      <c r="R97" s="384"/>
      <c r="S97" s="384"/>
    </row>
    <row r="98" spans="5:19" s="345" customFormat="1" x14ac:dyDescent="0.2">
      <c r="E98" s="353"/>
      <c r="F98" s="386"/>
      <c r="G98" s="348"/>
      <c r="H98" s="348"/>
      <c r="I98" s="347"/>
      <c r="J98" s="348"/>
      <c r="K98" s="348"/>
      <c r="L98" s="348"/>
      <c r="P98" s="384"/>
      <c r="Q98" s="384"/>
      <c r="R98" s="384"/>
      <c r="S98" s="384"/>
    </row>
    <row r="99" spans="5:19" s="345" customFormat="1" x14ac:dyDescent="0.2">
      <c r="E99" s="353"/>
      <c r="F99" s="386"/>
      <c r="G99" s="348"/>
      <c r="H99" s="348"/>
      <c r="I99" s="347"/>
      <c r="J99" s="348"/>
      <c r="K99" s="348"/>
      <c r="L99" s="348"/>
      <c r="P99" s="384"/>
      <c r="Q99" s="384"/>
      <c r="R99" s="384"/>
      <c r="S99" s="384"/>
    </row>
    <row r="100" spans="5:19" s="345" customFormat="1" x14ac:dyDescent="0.2">
      <c r="E100" s="353"/>
      <c r="F100" s="386"/>
      <c r="G100" s="348"/>
      <c r="H100" s="348"/>
      <c r="I100" s="347"/>
      <c r="J100" s="348"/>
      <c r="K100" s="348"/>
      <c r="L100" s="348"/>
      <c r="P100" s="384"/>
      <c r="Q100" s="384"/>
      <c r="R100" s="384"/>
      <c r="S100" s="384"/>
    </row>
    <row r="101" spans="5:19" s="345" customFormat="1" x14ac:dyDescent="0.2">
      <c r="E101" s="353"/>
      <c r="F101" s="386"/>
      <c r="G101" s="348"/>
      <c r="H101" s="348"/>
      <c r="I101" s="347"/>
      <c r="J101" s="348"/>
      <c r="K101" s="348"/>
      <c r="L101" s="348"/>
      <c r="P101" s="384"/>
      <c r="Q101" s="384"/>
      <c r="R101" s="384"/>
      <c r="S101" s="384"/>
    </row>
    <row r="102" spans="5:19" s="345" customFormat="1" x14ac:dyDescent="0.2">
      <c r="E102" s="353"/>
      <c r="F102" s="386"/>
      <c r="G102" s="348"/>
      <c r="H102" s="348"/>
      <c r="I102" s="347"/>
      <c r="J102" s="348"/>
      <c r="K102" s="348"/>
      <c r="L102" s="348"/>
      <c r="P102" s="384"/>
      <c r="Q102" s="384"/>
      <c r="R102" s="384"/>
      <c r="S102" s="384"/>
    </row>
    <row r="103" spans="5:19" s="345" customFormat="1" x14ac:dyDescent="0.2">
      <c r="E103" s="353"/>
      <c r="F103" s="386"/>
      <c r="G103" s="348"/>
      <c r="H103" s="348"/>
      <c r="I103" s="347"/>
      <c r="J103" s="348"/>
      <c r="K103" s="348"/>
      <c r="L103" s="348"/>
      <c r="P103" s="384"/>
      <c r="Q103" s="384"/>
      <c r="R103" s="384"/>
      <c r="S103" s="384"/>
    </row>
    <row r="104" spans="5:19" s="345" customFormat="1" x14ac:dyDescent="0.2">
      <c r="E104" s="353"/>
      <c r="F104" s="386"/>
      <c r="G104" s="348"/>
      <c r="H104" s="348"/>
      <c r="I104" s="347"/>
      <c r="J104" s="348"/>
      <c r="K104" s="348"/>
      <c r="L104" s="348"/>
      <c r="P104" s="384"/>
      <c r="Q104" s="384"/>
      <c r="R104" s="384"/>
      <c r="S104" s="384"/>
    </row>
    <row r="105" spans="5:19" s="345" customFormat="1" x14ac:dyDescent="0.2">
      <c r="E105" s="353"/>
      <c r="F105" s="386"/>
      <c r="G105" s="348"/>
      <c r="H105" s="348"/>
      <c r="I105" s="347"/>
      <c r="J105" s="348"/>
      <c r="K105" s="348"/>
      <c r="L105" s="348"/>
      <c r="P105" s="384"/>
      <c r="Q105" s="384"/>
      <c r="R105" s="384"/>
      <c r="S105" s="384"/>
    </row>
    <row r="106" spans="5:19" s="345" customFormat="1" x14ac:dyDescent="0.2">
      <c r="E106" s="353"/>
      <c r="F106" s="386"/>
      <c r="G106" s="348"/>
      <c r="H106" s="348"/>
      <c r="I106" s="347"/>
      <c r="J106" s="348"/>
      <c r="K106" s="348"/>
      <c r="L106" s="348"/>
      <c r="P106" s="384"/>
      <c r="Q106" s="384"/>
      <c r="R106" s="384"/>
      <c r="S106" s="384"/>
    </row>
    <row r="107" spans="5:19" s="345" customFormat="1" x14ac:dyDescent="0.2">
      <c r="E107" s="353"/>
      <c r="F107" s="386"/>
      <c r="G107" s="348"/>
      <c r="H107" s="348"/>
      <c r="I107" s="347"/>
      <c r="J107" s="348"/>
      <c r="K107" s="348"/>
      <c r="L107" s="348"/>
      <c r="P107" s="384"/>
      <c r="Q107" s="384"/>
      <c r="R107" s="384"/>
      <c r="S107" s="384"/>
    </row>
    <row r="108" spans="5:19" s="345" customFormat="1" x14ac:dyDescent="0.2">
      <c r="E108" s="353"/>
      <c r="F108" s="386"/>
      <c r="G108" s="348"/>
      <c r="H108" s="348"/>
      <c r="I108" s="347"/>
      <c r="J108" s="348"/>
      <c r="K108" s="348"/>
      <c r="L108" s="348"/>
      <c r="P108" s="384"/>
      <c r="Q108" s="384"/>
      <c r="R108" s="384"/>
      <c r="S108" s="384"/>
    </row>
    <row r="109" spans="5:19" s="345" customFormat="1" x14ac:dyDescent="0.2">
      <c r="E109" s="353"/>
      <c r="F109" s="386"/>
      <c r="G109" s="348"/>
      <c r="H109" s="348"/>
      <c r="I109" s="347"/>
      <c r="J109" s="348"/>
      <c r="K109" s="348"/>
      <c r="L109" s="348"/>
      <c r="P109" s="384"/>
      <c r="Q109" s="384"/>
      <c r="R109" s="384"/>
      <c r="S109" s="384"/>
    </row>
    <row r="110" spans="5:19" s="345" customFormat="1" x14ac:dyDescent="0.2">
      <c r="E110" s="353"/>
      <c r="F110" s="386"/>
      <c r="G110" s="348"/>
      <c r="H110" s="348"/>
      <c r="I110" s="347"/>
      <c r="J110" s="348"/>
      <c r="K110" s="348"/>
      <c r="L110" s="348"/>
      <c r="P110" s="384"/>
      <c r="Q110" s="384"/>
      <c r="R110" s="384"/>
      <c r="S110" s="384"/>
    </row>
    <row r="111" spans="5:19" s="345" customFormat="1" x14ac:dyDescent="0.2">
      <c r="E111" s="353"/>
      <c r="F111" s="386"/>
      <c r="G111" s="348"/>
      <c r="H111" s="348"/>
      <c r="I111" s="347"/>
      <c r="J111" s="348"/>
      <c r="K111" s="348"/>
      <c r="L111" s="348"/>
      <c r="P111" s="384"/>
      <c r="Q111" s="384"/>
      <c r="R111" s="384"/>
      <c r="S111" s="384"/>
    </row>
    <row r="112" spans="5:19" s="345" customFormat="1" x14ac:dyDescent="0.2">
      <c r="E112" s="353"/>
      <c r="F112" s="386"/>
      <c r="G112" s="348"/>
      <c r="H112" s="348"/>
      <c r="I112" s="347"/>
      <c r="J112" s="348"/>
      <c r="K112" s="348"/>
      <c r="L112" s="348"/>
      <c r="P112" s="384"/>
      <c r="Q112" s="384"/>
      <c r="R112" s="384"/>
      <c r="S112" s="384"/>
    </row>
    <row r="113" spans="5:19" s="345" customFormat="1" x14ac:dyDescent="0.2">
      <c r="E113" s="353"/>
      <c r="F113" s="386"/>
      <c r="G113" s="348"/>
      <c r="H113" s="348"/>
      <c r="I113" s="347"/>
      <c r="J113" s="348"/>
      <c r="K113" s="348"/>
      <c r="L113" s="348"/>
      <c r="P113" s="384"/>
      <c r="Q113" s="384"/>
      <c r="R113" s="384"/>
      <c r="S113" s="384"/>
    </row>
    <row r="114" spans="5:19" s="345" customFormat="1" x14ac:dyDescent="0.2">
      <c r="E114" s="353"/>
      <c r="F114" s="386"/>
      <c r="G114" s="348"/>
      <c r="H114" s="348"/>
      <c r="I114" s="347"/>
      <c r="J114" s="348"/>
      <c r="K114" s="348"/>
      <c r="L114" s="348"/>
      <c r="P114" s="384"/>
      <c r="Q114" s="384"/>
      <c r="R114" s="384"/>
      <c r="S114" s="384"/>
    </row>
    <row r="115" spans="5:19" s="345" customFormat="1" x14ac:dyDescent="0.2">
      <c r="E115" s="353"/>
      <c r="F115" s="386"/>
      <c r="G115" s="348"/>
      <c r="H115" s="348"/>
      <c r="I115" s="347"/>
      <c r="J115" s="348"/>
      <c r="K115" s="348"/>
      <c r="L115" s="348"/>
      <c r="P115" s="384"/>
      <c r="Q115" s="384"/>
      <c r="R115" s="384"/>
      <c r="S115" s="384"/>
    </row>
    <row r="116" spans="5:19" s="345" customFormat="1" x14ac:dyDescent="0.2">
      <c r="E116" s="353"/>
      <c r="F116" s="386"/>
      <c r="G116" s="348"/>
      <c r="H116" s="348"/>
      <c r="I116" s="347"/>
      <c r="J116" s="348"/>
      <c r="K116" s="348"/>
      <c r="L116" s="348"/>
      <c r="P116" s="384"/>
      <c r="Q116" s="384"/>
      <c r="R116" s="384"/>
      <c r="S116" s="384"/>
    </row>
    <row r="117" spans="5:19" s="345" customFormat="1" x14ac:dyDescent="0.2">
      <c r="E117" s="353"/>
      <c r="F117" s="386"/>
      <c r="G117" s="348"/>
      <c r="H117" s="348"/>
      <c r="I117" s="347"/>
      <c r="J117" s="348"/>
      <c r="K117" s="348"/>
      <c r="L117" s="348"/>
      <c r="P117" s="384"/>
      <c r="Q117" s="384"/>
      <c r="R117" s="384"/>
      <c r="S117" s="384"/>
    </row>
    <row r="118" spans="5:19" s="345" customFormat="1" x14ac:dyDescent="0.2">
      <c r="E118" s="353"/>
      <c r="F118" s="386"/>
      <c r="G118" s="348"/>
      <c r="H118" s="348"/>
      <c r="I118" s="347"/>
      <c r="J118" s="348"/>
      <c r="K118" s="348"/>
      <c r="L118" s="348"/>
      <c r="P118" s="384"/>
      <c r="Q118" s="384"/>
      <c r="R118" s="384"/>
      <c r="S118" s="384"/>
    </row>
    <row r="119" spans="5:19" s="345" customFormat="1" x14ac:dyDescent="0.2">
      <c r="E119" s="353"/>
      <c r="F119" s="386"/>
      <c r="G119" s="348"/>
      <c r="H119" s="348"/>
      <c r="I119" s="347"/>
      <c r="J119" s="348"/>
      <c r="K119" s="348"/>
      <c r="L119" s="348"/>
      <c r="P119" s="384"/>
      <c r="Q119" s="384"/>
      <c r="R119" s="384"/>
      <c r="S119" s="384"/>
    </row>
    <row r="120" spans="5:19" s="345" customFormat="1" x14ac:dyDescent="0.2">
      <c r="E120" s="353"/>
      <c r="F120" s="386"/>
      <c r="G120" s="348"/>
      <c r="H120" s="348"/>
      <c r="I120" s="347"/>
      <c r="J120" s="348"/>
      <c r="K120" s="348"/>
      <c r="L120" s="348"/>
      <c r="P120" s="384"/>
      <c r="Q120" s="384"/>
      <c r="R120" s="384"/>
      <c r="S120" s="384"/>
    </row>
    <row r="121" spans="5:19" s="345" customFormat="1" x14ac:dyDescent="0.2">
      <c r="E121" s="353"/>
      <c r="F121" s="386"/>
      <c r="G121" s="348"/>
      <c r="H121" s="348"/>
      <c r="I121" s="347"/>
      <c r="J121" s="348"/>
      <c r="K121" s="348"/>
      <c r="L121" s="348"/>
      <c r="P121" s="384"/>
      <c r="Q121" s="384"/>
      <c r="R121" s="384"/>
      <c r="S121" s="384"/>
    </row>
    <row r="122" spans="5:19" s="345" customFormat="1" x14ac:dyDescent="0.2">
      <c r="E122" s="353"/>
      <c r="F122" s="386"/>
      <c r="G122" s="348"/>
      <c r="H122" s="348"/>
      <c r="I122" s="347"/>
      <c r="J122" s="348"/>
      <c r="K122" s="348"/>
      <c r="L122" s="348"/>
      <c r="P122" s="384"/>
      <c r="Q122" s="384"/>
      <c r="R122" s="384"/>
      <c r="S122" s="384"/>
    </row>
    <row r="123" spans="5:19" s="345" customFormat="1" x14ac:dyDescent="0.2">
      <c r="E123" s="353"/>
      <c r="F123" s="386"/>
      <c r="G123" s="348"/>
      <c r="H123" s="348"/>
      <c r="I123" s="347"/>
      <c r="J123" s="348"/>
      <c r="K123" s="348"/>
      <c r="L123" s="348"/>
      <c r="P123" s="384"/>
      <c r="Q123" s="384"/>
      <c r="R123" s="384"/>
      <c r="S123" s="384"/>
    </row>
    <row r="124" spans="5:19" s="345" customFormat="1" x14ac:dyDescent="0.2">
      <c r="E124" s="353"/>
      <c r="F124" s="386"/>
      <c r="G124" s="348"/>
      <c r="H124" s="348"/>
      <c r="I124" s="347"/>
      <c r="J124" s="348"/>
      <c r="K124" s="348"/>
      <c r="L124" s="348"/>
      <c r="P124" s="384"/>
      <c r="Q124" s="384"/>
      <c r="R124" s="384"/>
      <c r="S124" s="384"/>
    </row>
    <row r="125" spans="5:19" s="345" customFormat="1" x14ac:dyDescent="0.2">
      <c r="E125" s="353"/>
      <c r="F125" s="386"/>
      <c r="G125" s="348"/>
      <c r="H125" s="348"/>
      <c r="I125" s="347"/>
      <c r="J125" s="348"/>
      <c r="K125" s="348"/>
      <c r="L125" s="348"/>
      <c r="P125" s="384"/>
      <c r="Q125" s="384"/>
      <c r="R125" s="384"/>
      <c r="S125" s="384"/>
    </row>
    <row r="126" spans="5:19" s="345" customFormat="1" x14ac:dyDescent="0.2">
      <c r="E126" s="353"/>
      <c r="F126" s="386"/>
      <c r="G126" s="348"/>
      <c r="H126" s="348"/>
      <c r="I126" s="347"/>
      <c r="J126" s="348"/>
      <c r="K126" s="348"/>
      <c r="L126" s="348"/>
      <c r="P126" s="384"/>
      <c r="Q126" s="384"/>
      <c r="R126" s="384"/>
      <c r="S126" s="384"/>
    </row>
    <row r="127" spans="5:19" s="345" customFormat="1" x14ac:dyDescent="0.2">
      <c r="E127" s="353"/>
      <c r="F127" s="386"/>
      <c r="G127" s="348"/>
      <c r="H127" s="348"/>
      <c r="I127" s="347"/>
      <c r="J127" s="348"/>
      <c r="K127" s="348"/>
      <c r="L127" s="348"/>
      <c r="P127" s="384"/>
      <c r="Q127" s="384"/>
      <c r="R127" s="384"/>
      <c r="S127" s="384"/>
    </row>
    <row r="128" spans="5:19" s="345" customFormat="1" x14ac:dyDescent="0.2">
      <c r="E128" s="353"/>
      <c r="F128" s="386"/>
      <c r="G128" s="348"/>
      <c r="H128" s="348"/>
      <c r="I128" s="347"/>
      <c r="J128" s="348"/>
      <c r="K128" s="348"/>
      <c r="L128" s="348"/>
      <c r="P128" s="384"/>
      <c r="Q128" s="384"/>
      <c r="R128" s="384"/>
      <c r="S128" s="384"/>
    </row>
    <row r="129" spans="1:22" s="345" customFormat="1" x14ac:dyDescent="0.2">
      <c r="E129" s="353"/>
      <c r="F129" s="386"/>
      <c r="G129" s="348"/>
      <c r="H129" s="348"/>
      <c r="I129" s="347"/>
      <c r="J129" s="348"/>
      <c r="K129" s="348"/>
      <c r="L129" s="348"/>
      <c r="P129" s="384"/>
      <c r="Q129" s="384"/>
      <c r="R129" s="384"/>
      <c r="S129" s="384"/>
    </row>
    <row r="130" spans="1:22" s="345" customFormat="1" x14ac:dyDescent="0.2">
      <c r="E130" s="353"/>
      <c r="F130" s="386"/>
      <c r="G130" s="348"/>
      <c r="H130" s="348"/>
      <c r="I130" s="347"/>
      <c r="J130" s="348"/>
      <c r="K130" s="348"/>
      <c r="L130" s="348"/>
      <c r="P130" s="384"/>
      <c r="Q130" s="384"/>
      <c r="R130" s="384"/>
      <c r="S130" s="384"/>
    </row>
    <row r="131" spans="1:22" s="345" customFormat="1" x14ac:dyDescent="0.2">
      <c r="E131" s="353"/>
      <c r="F131" s="386"/>
      <c r="G131" s="348"/>
      <c r="H131" s="348"/>
      <c r="I131" s="347"/>
      <c r="J131" s="348"/>
      <c r="K131" s="348"/>
      <c r="L131" s="348"/>
      <c r="P131" s="384"/>
      <c r="Q131" s="384"/>
      <c r="R131" s="349"/>
      <c r="S131" s="349"/>
      <c r="T131" s="348"/>
      <c r="U131" s="348"/>
      <c r="V131" s="348"/>
    </row>
    <row r="132" spans="1:22" s="345" customFormat="1" x14ac:dyDescent="0.2">
      <c r="E132" s="353"/>
      <c r="F132" s="386"/>
      <c r="G132" s="348"/>
      <c r="H132" s="348"/>
      <c r="I132" s="347"/>
      <c r="J132" s="348"/>
      <c r="K132" s="348"/>
      <c r="L132" s="348"/>
      <c r="P132" s="384"/>
      <c r="Q132" s="384"/>
      <c r="R132" s="349"/>
      <c r="S132" s="349"/>
      <c r="T132" s="348"/>
      <c r="U132" s="348"/>
      <c r="V132" s="348"/>
    </row>
    <row r="133" spans="1:22" s="345" customFormat="1" x14ac:dyDescent="0.2">
      <c r="E133" s="353"/>
      <c r="F133" s="386"/>
      <c r="G133" s="348"/>
      <c r="H133" s="348"/>
      <c r="I133" s="347"/>
      <c r="J133" s="348"/>
      <c r="K133" s="348"/>
      <c r="L133" s="348"/>
      <c r="P133" s="384"/>
      <c r="Q133" s="384"/>
      <c r="R133" s="349"/>
      <c r="S133" s="349"/>
      <c r="T133" s="348"/>
      <c r="U133" s="348"/>
      <c r="V133" s="348"/>
    </row>
    <row r="134" spans="1:22" s="345" customFormat="1" x14ac:dyDescent="0.2">
      <c r="E134" s="353"/>
      <c r="F134" s="386"/>
      <c r="G134" s="348"/>
      <c r="H134" s="348"/>
      <c r="I134" s="347"/>
      <c r="J134" s="348"/>
      <c r="K134" s="348"/>
      <c r="L134" s="348"/>
      <c r="P134" s="384"/>
      <c r="Q134" s="384"/>
      <c r="R134" s="349"/>
      <c r="S134" s="349"/>
      <c r="T134" s="348"/>
      <c r="U134" s="348"/>
      <c r="V134" s="348"/>
    </row>
    <row r="135" spans="1:22" s="345" customFormat="1" x14ac:dyDescent="0.2">
      <c r="E135" s="353"/>
      <c r="F135" s="386"/>
      <c r="G135" s="348"/>
      <c r="H135" s="348"/>
      <c r="I135" s="347"/>
      <c r="J135" s="348"/>
      <c r="K135" s="348"/>
      <c r="L135" s="348"/>
      <c r="P135" s="384"/>
      <c r="Q135" s="384"/>
      <c r="R135" s="349"/>
      <c r="S135" s="349"/>
      <c r="T135" s="348"/>
      <c r="U135" s="348"/>
      <c r="V135" s="348"/>
    </row>
    <row r="136" spans="1:22" s="345" customFormat="1" x14ac:dyDescent="0.2">
      <c r="E136" s="353"/>
      <c r="F136" s="386"/>
      <c r="G136" s="348"/>
      <c r="H136" s="348"/>
      <c r="I136" s="347"/>
      <c r="J136" s="348"/>
      <c r="K136" s="348"/>
      <c r="L136" s="348"/>
      <c r="N136" s="348"/>
      <c r="O136" s="347"/>
      <c r="P136" s="396"/>
      <c r="Q136" s="349"/>
      <c r="R136" s="349"/>
      <c r="S136" s="349"/>
      <c r="T136" s="348"/>
      <c r="U136" s="348"/>
      <c r="V136" s="348"/>
    </row>
    <row r="137" spans="1:22" s="345" customFormat="1" x14ac:dyDescent="0.2">
      <c r="E137" s="353"/>
      <c r="F137" s="386"/>
      <c r="G137" s="348"/>
      <c r="H137" s="348"/>
      <c r="I137" s="347"/>
      <c r="J137" s="348"/>
      <c r="K137" s="348"/>
      <c r="L137" s="348"/>
      <c r="N137" s="348"/>
      <c r="O137" s="347"/>
      <c r="P137" s="396"/>
      <c r="Q137" s="349"/>
      <c r="R137" s="349"/>
      <c r="S137" s="349"/>
      <c r="T137" s="348"/>
      <c r="U137" s="348"/>
      <c r="V137" s="348"/>
    </row>
    <row r="138" spans="1:22" s="345" customFormat="1" x14ac:dyDescent="0.2">
      <c r="E138" s="353"/>
      <c r="F138" s="386"/>
      <c r="G138" s="348"/>
      <c r="H138" s="348"/>
      <c r="I138" s="347"/>
      <c r="J138" s="348"/>
      <c r="K138" s="348"/>
      <c r="L138" s="348"/>
      <c r="N138" s="348"/>
      <c r="O138" s="347"/>
      <c r="P138" s="396"/>
      <c r="Q138" s="349"/>
      <c r="R138" s="349"/>
      <c r="S138" s="349"/>
      <c r="T138" s="348"/>
      <c r="U138" s="348"/>
      <c r="V138" s="348"/>
    </row>
    <row r="139" spans="1:22" s="345" customFormat="1" x14ac:dyDescent="0.2">
      <c r="E139" s="353"/>
      <c r="F139" s="386"/>
      <c r="G139" s="348"/>
      <c r="H139" s="348"/>
      <c r="I139" s="347"/>
      <c r="J139" s="348"/>
      <c r="K139" s="348"/>
      <c r="L139" s="348"/>
      <c r="N139" s="348"/>
      <c r="O139" s="347"/>
      <c r="P139" s="396"/>
      <c r="Q139" s="349"/>
      <c r="R139" s="349"/>
      <c r="S139" s="349"/>
      <c r="T139" s="348"/>
      <c r="U139" s="348"/>
      <c r="V139" s="348"/>
    </row>
    <row r="140" spans="1:22" s="345" customFormat="1" x14ac:dyDescent="0.2">
      <c r="A140" s="348"/>
      <c r="B140" s="348"/>
      <c r="C140" s="397"/>
      <c r="D140" s="397"/>
      <c r="E140" s="397"/>
      <c r="F140" s="397"/>
      <c r="H140" s="384"/>
      <c r="J140" s="348"/>
      <c r="K140" s="348"/>
      <c r="L140" s="348"/>
      <c r="N140" s="348"/>
      <c r="O140" s="347"/>
      <c r="P140" s="396"/>
      <c r="Q140" s="349"/>
      <c r="R140" s="349"/>
      <c r="S140" s="349"/>
      <c r="T140" s="348"/>
      <c r="U140" s="348"/>
      <c r="V140" s="348"/>
    </row>
    <row r="141" spans="1:22" s="345" customFormat="1" x14ac:dyDescent="0.2">
      <c r="A141" s="348"/>
      <c r="B141" s="348"/>
      <c r="C141" s="397"/>
      <c r="D141" s="397"/>
      <c r="E141" s="397"/>
      <c r="F141" s="397"/>
      <c r="H141" s="384"/>
      <c r="J141" s="348"/>
      <c r="K141" s="348"/>
      <c r="L141" s="348"/>
      <c r="N141" s="348"/>
      <c r="O141" s="347"/>
      <c r="P141" s="396"/>
      <c r="Q141" s="349"/>
      <c r="R141" s="349"/>
      <c r="S141" s="349"/>
      <c r="T141" s="348"/>
      <c r="U141" s="348"/>
      <c r="V141" s="348"/>
    </row>
    <row r="142" spans="1:22" s="345" customFormat="1" x14ac:dyDescent="0.2">
      <c r="A142" s="348"/>
      <c r="B142" s="348"/>
      <c r="C142" s="397"/>
      <c r="D142" s="397"/>
      <c r="E142" s="397"/>
      <c r="F142" s="397"/>
      <c r="H142" s="384"/>
      <c r="J142" s="348"/>
      <c r="K142" s="348"/>
      <c r="L142" s="348"/>
      <c r="N142" s="348"/>
      <c r="O142" s="347"/>
      <c r="P142" s="396"/>
      <c r="Q142" s="349"/>
      <c r="R142" s="349"/>
      <c r="S142" s="349"/>
      <c r="T142" s="348"/>
      <c r="U142" s="348"/>
      <c r="V142" s="348"/>
    </row>
    <row r="143" spans="1:22" s="345" customFormat="1" x14ac:dyDescent="0.2">
      <c r="A143" s="348"/>
      <c r="B143" s="348"/>
      <c r="C143" s="397"/>
      <c r="D143" s="397"/>
      <c r="E143" s="397"/>
      <c r="F143" s="397"/>
      <c r="H143" s="384"/>
      <c r="J143" s="348"/>
      <c r="K143" s="348"/>
      <c r="L143" s="348"/>
      <c r="N143" s="348"/>
      <c r="O143" s="347"/>
      <c r="P143" s="396"/>
      <c r="Q143" s="349"/>
      <c r="R143" s="349"/>
      <c r="S143" s="349"/>
      <c r="T143" s="348"/>
      <c r="U143" s="348"/>
      <c r="V143" s="348"/>
    </row>
    <row r="144" spans="1:22" s="345" customFormat="1" x14ac:dyDescent="0.2">
      <c r="A144" s="348"/>
      <c r="B144" s="348"/>
      <c r="C144" s="397"/>
      <c r="D144" s="397"/>
      <c r="E144" s="397"/>
      <c r="F144" s="397"/>
      <c r="H144" s="384"/>
      <c r="J144" s="348"/>
      <c r="K144" s="348"/>
      <c r="L144" s="348"/>
      <c r="N144" s="348"/>
      <c r="O144" s="347"/>
      <c r="P144" s="396"/>
      <c r="Q144" s="349"/>
      <c r="R144" s="349"/>
      <c r="S144" s="349"/>
      <c r="T144" s="348"/>
      <c r="U144" s="348"/>
      <c r="V144" s="348"/>
    </row>
    <row r="145" spans="1:22" s="345" customFormat="1" x14ac:dyDescent="0.2">
      <c r="A145" s="348"/>
      <c r="B145" s="348"/>
      <c r="C145" s="397"/>
      <c r="D145" s="397"/>
      <c r="E145" s="397"/>
      <c r="F145" s="397"/>
      <c r="H145" s="384"/>
      <c r="J145" s="348"/>
      <c r="K145" s="348"/>
      <c r="L145" s="348"/>
      <c r="N145" s="348"/>
      <c r="O145" s="347"/>
      <c r="P145" s="396"/>
      <c r="Q145" s="349"/>
      <c r="R145" s="349"/>
      <c r="S145" s="349"/>
      <c r="T145" s="348"/>
      <c r="U145" s="348"/>
      <c r="V145" s="348"/>
    </row>
    <row r="146" spans="1:22" s="345" customFormat="1" x14ac:dyDescent="0.2">
      <c r="A146" s="348"/>
      <c r="B146" s="348"/>
      <c r="C146" s="397"/>
      <c r="D146" s="397"/>
      <c r="E146" s="397"/>
      <c r="F146" s="397"/>
      <c r="H146" s="384"/>
      <c r="K146" s="348"/>
      <c r="L146" s="348"/>
      <c r="N146" s="348"/>
      <c r="O146" s="347"/>
      <c r="P146" s="396"/>
      <c r="Q146" s="349"/>
      <c r="R146" s="349"/>
      <c r="S146" s="349"/>
      <c r="T146" s="348"/>
      <c r="U146" s="348"/>
      <c r="V146" s="348"/>
    </row>
    <row r="147" spans="1:22" s="345" customFormat="1" x14ac:dyDescent="0.2">
      <c r="A147" s="348"/>
      <c r="B147" s="348"/>
      <c r="C147" s="397"/>
      <c r="D147" s="397"/>
      <c r="E147" s="397"/>
      <c r="F147" s="397"/>
      <c r="H147" s="384"/>
      <c r="K147" s="348"/>
      <c r="L147" s="348"/>
      <c r="N147" s="348"/>
      <c r="O147" s="347"/>
      <c r="P147" s="396"/>
      <c r="Q147" s="349"/>
      <c r="R147" s="349"/>
      <c r="S147" s="349"/>
      <c r="T147" s="348"/>
      <c r="U147" s="348"/>
      <c r="V147" s="348"/>
    </row>
    <row r="148" spans="1:22" x14ac:dyDescent="0.2">
      <c r="K148" s="348"/>
      <c r="L148" s="348"/>
      <c r="M148" s="345"/>
    </row>
    <row r="149" spans="1:22" x14ac:dyDescent="0.2">
      <c r="L149" s="348"/>
      <c r="M149" s="345"/>
    </row>
    <row r="150" spans="1:22" x14ac:dyDescent="0.2">
      <c r="L150" s="348"/>
      <c r="M150" s="345"/>
    </row>
    <row r="151" spans="1:22" x14ac:dyDescent="0.2">
      <c r="L151" s="348"/>
    </row>
    <row r="152" spans="1:22" x14ac:dyDescent="0.2">
      <c r="L152" s="348"/>
    </row>
    <row r="153" spans="1:22" x14ac:dyDescent="0.2">
      <c r="L153" s="348"/>
    </row>
  </sheetData>
  <conditionalFormatting sqref="P6:P11 Z6:Z11">
    <cfRule type="aboveAverage" dxfId="15" priority="3" aboveAverage="0" stdDev="1"/>
    <cfRule type="aboveAverage" dxfId="14" priority="4" stdDev="1"/>
  </conditionalFormatting>
  <conditionalFormatting sqref="P45:P58 Z45:Z58 B21:B44">
    <cfRule type="aboveAverage" dxfId="13" priority="5" aboveAverage="0" stdDev="1"/>
    <cfRule type="aboveAverage" dxfId="12" priority="6" stdDev="1"/>
  </conditionalFormatting>
  <conditionalFormatting sqref="C36">
    <cfRule type="aboveAverage" dxfId="11" priority="1" aboveAverage="0" stdDev="1"/>
    <cfRule type="aboveAverage" dxfId="10" priority="2" stdDev="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E652-C0E8-4380-B671-D1545699973B}">
  <dimension ref="A1:Z153"/>
  <sheetViews>
    <sheetView workbookViewId="0">
      <selection activeCell="F34" sqref="A1:XFD1048576"/>
    </sheetView>
  </sheetViews>
  <sheetFormatPr defaultColWidth="7.85546875" defaultRowHeight="11.25" x14ac:dyDescent="0.2"/>
  <cols>
    <col min="1" max="1" width="22.7109375" style="348" customWidth="1"/>
    <col min="2" max="2" width="22" style="348" customWidth="1"/>
    <col min="3" max="3" width="15.42578125" style="397" customWidth="1"/>
    <col min="4" max="4" width="14.28515625" style="397" customWidth="1"/>
    <col min="5" max="5" width="11.85546875" style="397" customWidth="1"/>
    <col min="6" max="6" width="18.28515625" style="397" customWidth="1"/>
    <col min="7" max="7" width="13.7109375" style="345" customWidth="1"/>
    <col min="8" max="8" width="18.7109375" style="384" customWidth="1"/>
    <col min="9" max="9" width="10.7109375" style="345" customWidth="1"/>
    <col min="10" max="10" width="8.5703125" style="345" customWidth="1"/>
    <col min="11" max="11" width="13.5703125" style="353" customWidth="1"/>
    <col min="12" max="12" width="7" style="386" customWidth="1"/>
    <col min="13" max="13" width="10.28515625" style="348" customWidth="1"/>
    <col min="14" max="14" width="5.7109375" style="348" bestFit="1" customWidth="1"/>
    <col min="15" max="15" width="16.5703125" style="347" customWidth="1"/>
    <col min="16" max="16" width="5.85546875" style="396" bestFit="1" customWidth="1"/>
    <col min="17" max="17" width="14" style="349" bestFit="1" customWidth="1"/>
    <col min="18" max="18" width="6" style="349" bestFit="1" customWidth="1"/>
    <col min="19" max="19" width="8.7109375" style="349" bestFit="1" customWidth="1"/>
    <col min="20" max="21" width="17.28515625" style="348" bestFit="1" customWidth="1"/>
    <col min="22" max="22" width="9.28515625" style="348" bestFit="1" customWidth="1"/>
    <col min="23" max="27" width="5.28515625" style="348" customWidth="1"/>
    <col min="28" max="28" width="17" style="348" customWidth="1"/>
    <col min="29" max="16384" width="7.85546875" style="348"/>
  </cols>
  <sheetData>
    <row r="1" spans="1:24" s="322" customFormat="1" ht="12.75" x14ac:dyDescent="0.2">
      <c r="A1" s="314" t="s">
        <v>91</v>
      </c>
      <c r="B1" s="315" t="s">
        <v>92</v>
      </c>
      <c r="C1" s="316"/>
      <c r="D1" s="315"/>
      <c r="E1" s="317"/>
      <c r="F1" s="317"/>
      <c r="G1" s="318"/>
      <c r="H1" s="319" t="s">
        <v>93</v>
      </c>
      <c r="I1" s="320">
        <f>MAX(A12:A14)*2.54/100</f>
        <v>0.72389999999999999</v>
      </c>
      <c r="J1" s="321" t="s">
        <v>94</v>
      </c>
      <c r="K1" s="315"/>
      <c r="L1" s="315"/>
      <c r="N1" s="323"/>
      <c r="P1" s="324"/>
      <c r="Q1" s="324"/>
      <c r="R1" s="324"/>
      <c r="S1" s="324"/>
    </row>
    <row r="2" spans="1:24" s="322" customFormat="1" ht="12.75" x14ac:dyDescent="0.2">
      <c r="A2" s="325" t="s">
        <v>95</v>
      </c>
      <c r="B2" s="315" t="s">
        <v>183</v>
      </c>
      <c r="C2" s="326"/>
      <c r="D2" s="315"/>
      <c r="E2" s="327"/>
      <c r="F2" s="327"/>
      <c r="G2" s="328"/>
      <c r="H2" s="329" t="s">
        <v>97</v>
      </c>
      <c r="I2" s="330">
        <f>I12/100</f>
        <v>0.67</v>
      </c>
      <c r="J2" s="331" t="s">
        <v>98</v>
      </c>
      <c r="K2" s="315"/>
      <c r="L2" s="315"/>
      <c r="N2" s="332"/>
      <c r="P2" s="324"/>
      <c r="Q2" s="324"/>
      <c r="R2" s="324"/>
      <c r="S2" s="324"/>
    </row>
    <row r="3" spans="1:24" s="335" customFormat="1" ht="11.25" customHeight="1" x14ac:dyDescent="0.2">
      <c r="A3" s="333" t="s">
        <v>99</v>
      </c>
      <c r="B3" s="334">
        <v>42161</v>
      </c>
      <c r="C3" s="326"/>
      <c r="D3" s="327"/>
      <c r="E3" s="327"/>
      <c r="F3" s="327"/>
      <c r="G3" s="328"/>
      <c r="H3" s="333" t="s">
        <v>100</v>
      </c>
      <c r="I3" s="330">
        <f>AVERAGE(I12:I21)/100</f>
        <v>0.7659999999999999</v>
      </c>
      <c r="J3" s="331"/>
      <c r="K3" s="315"/>
      <c r="L3" s="315"/>
      <c r="N3" s="336"/>
      <c r="P3" s="337"/>
      <c r="Q3" s="337"/>
      <c r="R3" s="337"/>
      <c r="S3" s="337"/>
    </row>
    <row r="4" spans="1:24" s="322" customFormat="1" ht="12.75" x14ac:dyDescent="0.2">
      <c r="A4" s="333" t="s">
        <v>101</v>
      </c>
      <c r="B4" s="338" t="s">
        <v>187</v>
      </c>
      <c r="C4" s="326"/>
      <c r="D4" s="327"/>
      <c r="E4" s="327"/>
      <c r="F4" s="327"/>
      <c r="G4" s="328"/>
      <c r="H4" s="333" t="s">
        <v>103</v>
      </c>
      <c r="I4" s="330">
        <f>AVERAGE(E12:E14)</f>
        <v>0.60338345864661647</v>
      </c>
      <c r="J4" s="331"/>
      <c r="K4" s="315"/>
      <c r="L4" s="315"/>
      <c r="M4" s="323"/>
      <c r="N4" s="323"/>
      <c r="P4" s="324"/>
      <c r="Q4" s="324"/>
      <c r="R4" s="324"/>
      <c r="S4" s="324"/>
    </row>
    <row r="5" spans="1:24" s="343" customFormat="1" ht="12.75" x14ac:dyDescent="0.2">
      <c r="A5" s="325" t="s">
        <v>104</v>
      </c>
      <c r="B5" s="339" t="s">
        <v>105</v>
      </c>
      <c r="C5" s="326"/>
      <c r="D5" s="327"/>
      <c r="E5" s="327"/>
      <c r="F5" s="340"/>
      <c r="G5" s="340"/>
      <c r="H5" s="333"/>
      <c r="I5" s="341"/>
      <c r="J5" s="331"/>
      <c r="K5" s="315"/>
      <c r="L5" s="315"/>
      <c r="M5" s="342"/>
      <c r="N5" s="342"/>
      <c r="P5" s="344"/>
      <c r="Q5" s="344"/>
      <c r="R5" s="344"/>
      <c r="S5" s="344"/>
    </row>
    <row r="6" spans="1:24" x14ac:dyDescent="0.2">
      <c r="A6" s="345"/>
      <c r="B6" s="345"/>
      <c r="C6" s="345"/>
      <c r="D6" s="345"/>
      <c r="E6" s="346"/>
      <c r="F6" s="342"/>
      <c r="G6" s="342"/>
      <c r="H6" s="347"/>
      <c r="I6" s="347"/>
      <c r="J6" s="348"/>
      <c r="K6" s="348"/>
      <c r="L6" s="347"/>
      <c r="M6" s="347"/>
      <c r="O6" s="348"/>
      <c r="P6" s="349"/>
    </row>
    <row r="7" spans="1:24" x14ac:dyDescent="0.2">
      <c r="A7" s="345"/>
      <c r="B7" s="345"/>
      <c r="C7" s="345"/>
      <c r="D7" s="345"/>
      <c r="E7" s="346"/>
      <c r="F7" s="350"/>
      <c r="G7" s="351"/>
      <c r="H7" s="347"/>
      <c r="I7" s="347"/>
      <c r="J7" s="348"/>
      <c r="K7" s="348"/>
      <c r="L7" s="347"/>
      <c r="M7" s="347"/>
      <c r="O7" s="348"/>
      <c r="P7" s="349"/>
    </row>
    <row r="8" spans="1:24" ht="12" thickBot="1" x14ac:dyDescent="0.25">
      <c r="A8" s="345"/>
      <c r="B8" s="345"/>
      <c r="C8" s="352"/>
      <c r="D8" s="352"/>
      <c r="E8" s="353"/>
      <c r="F8" s="348"/>
      <c r="G8" s="348"/>
      <c r="H8" s="322" t="s">
        <v>106</v>
      </c>
      <c r="I8" s="347"/>
      <c r="J8" s="348"/>
      <c r="K8" s="322" t="s">
        <v>107</v>
      </c>
      <c r="L8" s="347"/>
      <c r="M8" s="347"/>
      <c r="O8" s="323" t="s">
        <v>108</v>
      </c>
      <c r="P8" s="349"/>
    </row>
    <row r="9" spans="1:24" x14ac:dyDescent="0.2">
      <c r="A9" s="354"/>
      <c r="B9" s="355"/>
      <c r="C9" s="347"/>
      <c r="D9" s="347"/>
      <c r="E9" s="355"/>
      <c r="F9" s="355"/>
      <c r="G9" s="356"/>
      <c r="H9" s="354"/>
      <c r="I9" s="357"/>
      <c r="J9" s="356"/>
      <c r="K9" s="358"/>
      <c r="L9" s="359"/>
      <c r="M9" s="360"/>
      <c r="P9" s="349"/>
      <c r="W9" s="347"/>
      <c r="X9" s="347"/>
    </row>
    <row r="10" spans="1:24" x14ac:dyDescent="0.2">
      <c r="A10" s="361" t="s">
        <v>109</v>
      </c>
      <c r="B10" s="350" t="s">
        <v>110</v>
      </c>
      <c r="C10" s="362" t="s">
        <v>111</v>
      </c>
      <c r="D10" s="363" t="s">
        <v>112</v>
      </c>
      <c r="E10" s="350" t="s">
        <v>18</v>
      </c>
      <c r="F10" s="364" t="s">
        <v>81</v>
      </c>
      <c r="G10" s="356"/>
      <c r="H10" s="350" t="s">
        <v>113</v>
      </c>
      <c r="I10" s="365" t="s">
        <v>114</v>
      </c>
      <c r="J10" s="348"/>
      <c r="K10" s="366" t="s">
        <v>115</v>
      </c>
      <c r="L10" s="332" t="s">
        <v>116</v>
      </c>
      <c r="M10" s="367" t="s">
        <v>117</v>
      </c>
      <c r="O10" s="322" t="s">
        <v>75</v>
      </c>
      <c r="P10" s="349"/>
      <c r="W10" s="368"/>
    </row>
    <row r="11" spans="1:24" ht="12" thickBot="1" x14ac:dyDescent="0.25">
      <c r="A11" s="369" t="s">
        <v>118</v>
      </c>
      <c r="B11" s="370" t="s">
        <v>118</v>
      </c>
      <c r="C11" s="371" t="s">
        <v>119</v>
      </c>
      <c r="D11" s="372" t="s">
        <v>119</v>
      </c>
      <c r="E11" s="373" t="s">
        <v>83</v>
      </c>
      <c r="F11" s="374"/>
      <c r="G11" s="356"/>
      <c r="H11" s="375"/>
      <c r="I11" s="376" t="s">
        <v>120</v>
      </c>
      <c r="J11" s="348"/>
      <c r="K11" s="377"/>
      <c r="L11" s="378"/>
      <c r="M11" s="379" t="s">
        <v>121</v>
      </c>
      <c r="O11" s="348" t="s">
        <v>84</v>
      </c>
      <c r="P11" s="349"/>
      <c r="W11" s="347"/>
    </row>
    <row r="12" spans="1:24" ht="56.25" x14ac:dyDescent="0.2">
      <c r="A12" s="387">
        <v>28.5</v>
      </c>
      <c r="B12" s="380"/>
      <c r="C12" s="355">
        <v>56</v>
      </c>
      <c r="D12" s="381">
        <v>44</v>
      </c>
      <c r="E12" s="382">
        <f>(C12-D12)/A12</f>
        <v>0.42105263157894735</v>
      </c>
      <c r="F12" s="656" t="s">
        <v>190</v>
      </c>
      <c r="G12" s="348"/>
      <c r="H12" s="348" t="s">
        <v>170</v>
      </c>
      <c r="I12" s="348">
        <v>67</v>
      </c>
      <c r="J12" s="348"/>
      <c r="K12" s="348">
        <v>10414782</v>
      </c>
      <c r="L12" s="348" t="s">
        <v>188</v>
      </c>
      <c r="M12" s="383"/>
      <c r="O12" s="349">
        <f>I1/I3</f>
        <v>0.94503916449086167</v>
      </c>
      <c r="P12" s="349"/>
    </row>
    <row r="13" spans="1:24" x14ac:dyDescent="0.2">
      <c r="A13" s="387">
        <v>28</v>
      </c>
      <c r="B13" s="380"/>
      <c r="C13" s="348">
        <v>67</v>
      </c>
      <c r="D13" s="384">
        <v>45</v>
      </c>
      <c r="E13" s="385">
        <f>(C13-D13)/A13</f>
        <v>0.7857142857142857</v>
      </c>
      <c r="F13" s="348" t="s">
        <v>191</v>
      </c>
      <c r="G13" s="348"/>
      <c r="H13" s="348" t="s">
        <v>126</v>
      </c>
      <c r="I13" s="348">
        <v>76</v>
      </c>
      <c r="J13" s="348"/>
      <c r="K13" s="348">
        <v>10414779</v>
      </c>
      <c r="L13" s="348" t="s">
        <v>189</v>
      </c>
      <c r="O13" s="348"/>
      <c r="P13" s="349"/>
    </row>
    <row r="14" spans="1:24" x14ac:dyDescent="0.2">
      <c r="A14" s="387"/>
      <c r="B14" s="380"/>
      <c r="C14" s="348"/>
      <c r="D14" s="384"/>
      <c r="E14" s="385"/>
      <c r="F14" s="386"/>
      <c r="G14" s="348"/>
      <c r="H14" s="348" t="s">
        <v>126</v>
      </c>
      <c r="I14" s="348">
        <v>74</v>
      </c>
      <c r="J14" s="348"/>
      <c r="K14" s="348"/>
      <c r="L14" s="348"/>
      <c r="O14" s="348"/>
      <c r="P14" s="349"/>
    </row>
    <row r="15" spans="1:24" x14ac:dyDescent="0.2">
      <c r="A15" s="387"/>
      <c r="B15" s="387"/>
      <c r="C15" s="345"/>
      <c r="D15" s="345"/>
      <c r="E15" s="353"/>
      <c r="F15" s="386"/>
      <c r="G15" s="348"/>
      <c r="H15" s="348" t="s">
        <v>126</v>
      </c>
      <c r="I15" s="348">
        <v>73</v>
      </c>
      <c r="J15" s="348"/>
      <c r="K15" s="348" t="s">
        <v>98</v>
      </c>
      <c r="L15" s="348"/>
      <c r="O15" s="348"/>
      <c r="P15" s="349"/>
    </row>
    <row r="16" spans="1:24" ht="15" x14ac:dyDescent="0.25">
      <c r="A16"/>
      <c r="B16"/>
      <c r="C16"/>
      <c r="D16"/>
      <c r="E16"/>
      <c r="F16" s="386"/>
      <c r="G16" s="348"/>
      <c r="H16" s="348" t="s">
        <v>126</v>
      </c>
      <c r="I16" s="348">
        <v>76</v>
      </c>
      <c r="J16" s="348"/>
      <c r="K16" s="348"/>
      <c r="L16" s="348"/>
      <c r="O16" s="348"/>
      <c r="P16" s="349"/>
    </row>
    <row r="17" spans="1:9" s="343" customFormat="1" ht="15" x14ac:dyDescent="0.25">
      <c r="A17"/>
      <c r="B17"/>
      <c r="C17"/>
      <c r="D17"/>
      <c r="E17"/>
      <c r="H17" s="348" t="s">
        <v>127</v>
      </c>
      <c r="I17" s="348">
        <v>76</v>
      </c>
    </row>
    <row r="18" spans="1:9" s="342" customFormat="1" ht="15" x14ac:dyDescent="0.25">
      <c r="A18"/>
      <c r="B18"/>
      <c r="C18"/>
      <c r="D18"/>
      <c r="E18"/>
      <c r="H18" s="348" t="s">
        <v>127</v>
      </c>
      <c r="I18" s="388">
        <v>92</v>
      </c>
    </row>
    <row r="19" spans="1:9" s="343" customFormat="1" ht="13.35" customHeight="1" x14ac:dyDescent="0.2">
      <c r="H19" s="348" t="s">
        <v>127</v>
      </c>
      <c r="I19" s="388">
        <v>79</v>
      </c>
    </row>
    <row r="20" spans="1:9" s="389" customFormat="1" ht="15" x14ac:dyDescent="0.25">
      <c r="A20"/>
      <c r="B20"/>
      <c r="C20"/>
      <c r="D20"/>
      <c r="E20"/>
      <c r="F20"/>
      <c r="H20" s="348" t="s">
        <v>127</v>
      </c>
      <c r="I20" s="390">
        <v>70</v>
      </c>
    </row>
    <row r="21" spans="1:9" s="392" customFormat="1" ht="13.35" customHeight="1" x14ac:dyDescent="0.25">
      <c r="A21" s="391"/>
      <c r="B21" s="391"/>
      <c r="C21" s="391"/>
      <c r="D21" s="391"/>
      <c r="E21" s="391"/>
      <c r="F21"/>
      <c r="H21" s="348" t="s">
        <v>127</v>
      </c>
      <c r="I21" s="393">
        <v>83</v>
      </c>
    </row>
    <row r="22" spans="1:9" s="392" customFormat="1" ht="15" x14ac:dyDescent="0.25">
      <c r="A22"/>
      <c r="B22"/>
      <c r="C22"/>
      <c r="D22"/>
      <c r="E22"/>
      <c r="F22"/>
    </row>
    <row r="23" spans="1:9" s="392" customFormat="1" ht="15" x14ac:dyDescent="0.25">
      <c r="A23"/>
      <c r="B23"/>
      <c r="C23"/>
      <c r="D23"/>
      <c r="E23"/>
      <c r="F23"/>
    </row>
    <row r="24" spans="1:9" s="392" customFormat="1" ht="15" x14ac:dyDescent="0.25">
      <c r="A24"/>
      <c r="B24"/>
      <c r="C24"/>
      <c r="D24"/>
      <c r="E24"/>
      <c r="F24"/>
    </row>
    <row r="25" spans="1:9" s="392" customFormat="1" x14ac:dyDescent="0.25"/>
    <row r="26" spans="1:9" s="394" customFormat="1" x14ac:dyDescent="0.25"/>
    <row r="27" spans="1:9" s="394" customFormat="1" x14ac:dyDescent="0.25"/>
    <row r="28" spans="1:9" s="394" customFormat="1" x14ac:dyDescent="0.25"/>
    <row r="29" spans="1:9" s="394" customFormat="1" x14ac:dyDescent="0.25"/>
    <row r="30" spans="1:9" s="394" customFormat="1" x14ac:dyDescent="0.25"/>
    <row r="31" spans="1:9" s="394" customFormat="1" x14ac:dyDescent="0.25"/>
    <row r="32" spans="1:9" s="394" customFormat="1" x14ac:dyDescent="0.25"/>
    <row r="33" spans="1:19" s="394" customFormat="1" x14ac:dyDescent="0.25"/>
    <row r="34" spans="1:19" x14ac:dyDescent="0.2">
      <c r="A34" s="394"/>
      <c r="C34" s="348"/>
      <c r="D34" s="348"/>
      <c r="E34" s="348"/>
      <c r="F34" s="348"/>
      <c r="G34" s="348"/>
      <c r="H34" s="348"/>
      <c r="I34" s="348"/>
      <c r="J34" s="348"/>
      <c r="K34" s="348"/>
      <c r="L34" s="348"/>
      <c r="O34" s="348"/>
      <c r="P34" s="348"/>
      <c r="Q34" s="348"/>
      <c r="R34" s="348"/>
      <c r="S34" s="348"/>
    </row>
    <row r="35" spans="1:19" x14ac:dyDescent="0.2">
      <c r="A35" s="394"/>
      <c r="C35" s="348"/>
      <c r="D35" s="348"/>
      <c r="E35" s="348"/>
      <c r="F35" s="348"/>
      <c r="G35" s="348"/>
      <c r="H35" s="348"/>
      <c r="I35" s="348"/>
      <c r="J35" s="348"/>
      <c r="K35" s="348"/>
      <c r="L35" s="348"/>
      <c r="O35" s="348"/>
      <c r="P35" s="348"/>
      <c r="Q35" s="348"/>
      <c r="R35" s="348"/>
      <c r="S35" s="348"/>
    </row>
    <row r="36" spans="1:19" ht="15" x14ac:dyDescent="0.25">
      <c r="A36" s="394"/>
      <c r="C36"/>
      <c r="D36" s="348"/>
      <c r="E36" s="348"/>
      <c r="F36" s="348"/>
      <c r="G36" s="348"/>
      <c r="H36" s="348"/>
      <c r="I36" s="348"/>
      <c r="J36" s="348"/>
      <c r="K36" s="348"/>
      <c r="L36" s="348"/>
      <c r="O36" s="348"/>
      <c r="P36" s="348"/>
      <c r="Q36" s="348"/>
      <c r="R36" s="348"/>
      <c r="S36" s="348"/>
    </row>
    <row r="37" spans="1:19" x14ac:dyDescent="0.2">
      <c r="A37" s="394"/>
      <c r="C37" s="348"/>
      <c r="D37" s="348"/>
      <c r="E37" s="348"/>
      <c r="F37" s="348"/>
      <c r="G37" s="348"/>
      <c r="H37" s="348"/>
      <c r="I37" s="348"/>
      <c r="J37" s="348"/>
      <c r="K37" s="348"/>
      <c r="L37" s="348"/>
      <c r="O37" s="348"/>
      <c r="P37" s="348"/>
      <c r="Q37" s="348"/>
      <c r="R37" s="348"/>
      <c r="S37" s="348"/>
    </row>
    <row r="38" spans="1:19" x14ac:dyDescent="0.2">
      <c r="A38" s="394"/>
      <c r="C38" s="348"/>
      <c r="D38" s="348"/>
      <c r="E38" s="348"/>
      <c r="F38" s="348"/>
      <c r="G38" s="348"/>
      <c r="H38" s="348"/>
      <c r="I38" s="348"/>
      <c r="J38" s="348"/>
      <c r="K38" s="348"/>
      <c r="L38" s="348"/>
      <c r="O38" s="348"/>
      <c r="P38" s="348"/>
      <c r="Q38" s="348"/>
      <c r="R38" s="348"/>
      <c r="S38" s="348"/>
    </row>
    <row r="39" spans="1:19" x14ac:dyDescent="0.2">
      <c r="C39" s="348"/>
      <c r="D39" s="348"/>
      <c r="E39" s="348"/>
      <c r="F39" s="348"/>
      <c r="G39" s="348"/>
      <c r="H39" s="348"/>
      <c r="I39" s="348"/>
      <c r="J39" s="348"/>
      <c r="K39" s="348"/>
      <c r="L39" s="348"/>
      <c r="O39" s="348"/>
      <c r="P39" s="348"/>
      <c r="Q39" s="348"/>
      <c r="R39" s="348"/>
      <c r="S39" s="348"/>
    </row>
    <row r="40" spans="1:19" x14ac:dyDescent="0.2">
      <c r="C40" s="348"/>
      <c r="D40" s="348"/>
      <c r="E40" s="348"/>
      <c r="F40" s="348"/>
      <c r="G40" s="348"/>
      <c r="H40" s="348"/>
      <c r="I40" s="348"/>
      <c r="J40" s="348"/>
      <c r="K40" s="348"/>
      <c r="L40" s="348"/>
      <c r="O40" s="348"/>
      <c r="P40" s="348"/>
      <c r="Q40" s="348"/>
      <c r="R40" s="348"/>
      <c r="S40" s="348"/>
    </row>
    <row r="41" spans="1:19" x14ac:dyDescent="0.2">
      <c r="C41" s="348"/>
      <c r="D41" s="348"/>
      <c r="E41" s="348"/>
      <c r="F41" s="348"/>
      <c r="G41" s="348"/>
      <c r="H41" s="348"/>
      <c r="I41" s="348"/>
      <c r="J41" s="348"/>
      <c r="K41" s="348"/>
      <c r="L41" s="348"/>
      <c r="O41" s="348"/>
      <c r="P41" s="348"/>
      <c r="Q41" s="348"/>
      <c r="R41" s="348"/>
      <c r="S41" s="348"/>
    </row>
    <row r="42" spans="1:19" x14ac:dyDescent="0.2">
      <c r="C42" s="348"/>
      <c r="D42" s="348"/>
      <c r="E42" s="348"/>
      <c r="F42" s="348"/>
      <c r="G42" s="348"/>
      <c r="H42" s="348"/>
      <c r="I42" s="348"/>
      <c r="J42" s="348"/>
      <c r="K42" s="348"/>
      <c r="L42" s="348"/>
      <c r="O42" s="348"/>
      <c r="P42" s="348"/>
      <c r="Q42" s="348"/>
      <c r="R42" s="348"/>
      <c r="S42" s="348"/>
    </row>
    <row r="43" spans="1:19" x14ac:dyDescent="0.2">
      <c r="C43" s="348"/>
      <c r="D43" s="348"/>
      <c r="E43" s="348"/>
      <c r="F43" s="348"/>
      <c r="G43" s="348"/>
      <c r="H43" s="348"/>
      <c r="I43" s="348"/>
      <c r="J43" s="348"/>
      <c r="K43" s="348"/>
      <c r="L43" s="348"/>
      <c r="O43" s="348"/>
      <c r="P43" s="348"/>
      <c r="Q43" s="348"/>
      <c r="R43" s="348"/>
      <c r="S43" s="348"/>
    </row>
    <row r="44" spans="1:19" x14ac:dyDescent="0.2">
      <c r="C44" s="348"/>
      <c r="D44" s="348"/>
      <c r="E44" s="348"/>
      <c r="F44" s="348"/>
      <c r="G44" s="348"/>
      <c r="H44" s="348"/>
      <c r="I44" s="348"/>
      <c r="J44" s="348"/>
      <c r="K44" s="348"/>
      <c r="L44" s="348"/>
      <c r="O44" s="348"/>
      <c r="P44" s="348"/>
      <c r="Q44" s="348"/>
      <c r="R44" s="348"/>
      <c r="S44" s="348"/>
    </row>
    <row r="45" spans="1:19" x14ac:dyDescent="0.2">
      <c r="C45" s="348"/>
      <c r="D45" s="348"/>
      <c r="E45" s="348"/>
      <c r="F45" s="348"/>
      <c r="G45" s="348"/>
      <c r="H45" s="348"/>
      <c r="I45" s="347"/>
      <c r="J45" s="348"/>
      <c r="K45" s="348"/>
      <c r="L45" s="347"/>
      <c r="M45" s="347"/>
      <c r="O45" s="348"/>
      <c r="P45" s="349"/>
    </row>
    <row r="46" spans="1:19" x14ac:dyDescent="0.2">
      <c r="C46" s="348"/>
      <c r="D46" s="348"/>
      <c r="E46" s="348"/>
      <c r="F46" s="348"/>
      <c r="G46" s="348"/>
      <c r="H46" s="348"/>
      <c r="I46" s="347"/>
      <c r="J46" s="348"/>
      <c r="K46" s="348"/>
      <c r="L46" s="347"/>
      <c r="M46" s="347"/>
      <c r="O46" s="348"/>
      <c r="P46" s="349"/>
    </row>
    <row r="47" spans="1:19" x14ac:dyDescent="0.2">
      <c r="C47" s="348"/>
      <c r="D47" s="348"/>
      <c r="E47" s="348"/>
      <c r="F47" s="348"/>
      <c r="G47" s="348"/>
      <c r="H47" s="348"/>
      <c r="I47" s="347"/>
      <c r="J47" s="348"/>
      <c r="K47" s="348"/>
      <c r="L47" s="347"/>
      <c r="M47" s="347"/>
      <c r="O47" s="348"/>
      <c r="P47" s="349"/>
    </row>
    <row r="48" spans="1:19" x14ac:dyDescent="0.2">
      <c r="C48" s="348"/>
      <c r="D48" s="348"/>
      <c r="E48" s="348"/>
      <c r="F48" s="348"/>
      <c r="G48" s="348"/>
      <c r="H48" s="348"/>
      <c r="I48" s="348"/>
      <c r="J48" s="395"/>
      <c r="K48" s="348"/>
      <c r="L48" s="347"/>
      <c r="M48" s="347"/>
      <c r="O48" s="348"/>
      <c r="P48" s="349"/>
    </row>
    <row r="49" spans="1:26" x14ac:dyDescent="0.2">
      <c r="C49" s="348"/>
      <c r="D49" s="348"/>
      <c r="E49" s="348"/>
      <c r="F49" s="348"/>
      <c r="G49" s="348"/>
      <c r="H49" s="348"/>
      <c r="I49" s="348"/>
      <c r="J49" s="395"/>
      <c r="K49" s="348"/>
      <c r="L49" s="347"/>
      <c r="M49" s="347"/>
      <c r="O49" s="348"/>
      <c r="P49" s="349"/>
    </row>
    <row r="50" spans="1:26" x14ac:dyDescent="0.2">
      <c r="A50" s="345"/>
      <c r="B50" s="345"/>
      <c r="C50" s="345"/>
      <c r="D50" s="345"/>
      <c r="E50" s="353"/>
      <c r="F50" s="386"/>
      <c r="G50" s="348"/>
      <c r="H50" s="348"/>
      <c r="I50" s="347"/>
      <c r="J50" s="348"/>
      <c r="K50" s="348"/>
      <c r="L50" s="347"/>
      <c r="M50" s="347"/>
      <c r="O50" s="348"/>
      <c r="P50" s="349"/>
    </row>
    <row r="51" spans="1:26" x14ac:dyDescent="0.2">
      <c r="A51" s="345"/>
      <c r="B51" s="345"/>
      <c r="C51" s="345"/>
      <c r="D51" s="345"/>
      <c r="E51" s="353"/>
      <c r="F51" s="386"/>
      <c r="G51" s="348"/>
      <c r="H51" s="348"/>
      <c r="I51" s="347"/>
      <c r="J51" s="348"/>
      <c r="K51" s="348"/>
      <c r="L51" s="347"/>
      <c r="M51" s="347"/>
      <c r="O51" s="348"/>
      <c r="P51" s="349"/>
    </row>
    <row r="52" spans="1:26" x14ac:dyDescent="0.2">
      <c r="A52" s="345"/>
      <c r="B52" s="345"/>
      <c r="C52" s="345"/>
      <c r="D52" s="345"/>
      <c r="E52" s="353"/>
      <c r="F52" s="386"/>
      <c r="G52" s="348"/>
      <c r="H52" s="348"/>
      <c r="I52" s="347"/>
      <c r="J52" s="348"/>
      <c r="K52" s="348"/>
      <c r="L52" s="347"/>
      <c r="M52" s="347"/>
      <c r="O52" s="348"/>
      <c r="P52" s="349"/>
    </row>
    <row r="53" spans="1:26" x14ac:dyDescent="0.2">
      <c r="A53" s="345"/>
      <c r="B53" s="345"/>
      <c r="C53" s="345"/>
      <c r="D53" s="345"/>
      <c r="E53" s="353"/>
      <c r="F53" s="386"/>
      <c r="G53" s="348"/>
      <c r="H53" s="348"/>
      <c r="I53" s="347"/>
      <c r="J53" s="348"/>
      <c r="K53" s="348"/>
      <c r="L53" s="347"/>
      <c r="M53" s="347"/>
      <c r="O53" s="348"/>
      <c r="P53" s="349"/>
    </row>
    <row r="54" spans="1:26" x14ac:dyDescent="0.2">
      <c r="A54" s="345"/>
      <c r="B54" s="345"/>
      <c r="C54" s="345"/>
      <c r="D54" s="345"/>
      <c r="E54" s="353"/>
      <c r="F54" s="386"/>
      <c r="G54" s="348"/>
      <c r="H54" s="348"/>
      <c r="I54" s="347"/>
      <c r="J54" s="348"/>
      <c r="K54" s="348"/>
      <c r="L54" s="347"/>
      <c r="M54" s="347"/>
      <c r="O54" s="348"/>
      <c r="P54" s="349"/>
    </row>
    <row r="55" spans="1:26" x14ac:dyDescent="0.2">
      <c r="A55" s="345"/>
      <c r="B55" s="345"/>
      <c r="C55" s="345"/>
      <c r="D55" s="345"/>
      <c r="E55" s="353"/>
      <c r="F55" s="386"/>
      <c r="G55" s="348"/>
      <c r="H55" s="348"/>
      <c r="I55" s="347"/>
      <c r="J55" s="348"/>
      <c r="K55" s="348"/>
      <c r="L55" s="347"/>
      <c r="O55" s="348"/>
      <c r="P55" s="349"/>
      <c r="W55" s="347"/>
      <c r="X55" s="347"/>
    </row>
    <row r="56" spans="1:26" x14ac:dyDescent="0.2">
      <c r="A56" s="345"/>
      <c r="B56" s="345"/>
      <c r="C56" s="345"/>
      <c r="D56" s="345"/>
      <c r="E56" s="353"/>
      <c r="F56" s="386"/>
      <c r="G56" s="348"/>
      <c r="H56" s="348"/>
      <c r="I56" s="347"/>
      <c r="J56" s="348"/>
      <c r="K56" s="348"/>
      <c r="L56" s="347"/>
      <c r="O56" s="348"/>
      <c r="P56" s="349"/>
      <c r="W56" s="368"/>
      <c r="X56" s="347"/>
      <c r="Y56" s="347"/>
      <c r="Z56" s="347"/>
    </row>
    <row r="57" spans="1:26" x14ac:dyDescent="0.2">
      <c r="A57" s="345"/>
      <c r="B57" s="345"/>
      <c r="C57" s="345"/>
      <c r="D57" s="345"/>
      <c r="E57" s="353"/>
      <c r="F57" s="386"/>
      <c r="G57" s="348"/>
      <c r="H57" s="348"/>
      <c r="I57" s="347"/>
      <c r="J57" s="348"/>
      <c r="K57" s="348"/>
      <c r="L57" s="348"/>
      <c r="O57" s="348"/>
      <c r="P57" s="349"/>
      <c r="W57" s="368"/>
    </row>
    <row r="58" spans="1:26" x14ac:dyDescent="0.2">
      <c r="A58" s="345"/>
      <c r="B58" s="345"/>
      <c r="C58" s="345"/>
      <c r="D58" s="345"/>
      <c r="E58" s="353"/>
      <c r="F58" s="386"/>
      <c r="G58" s="348"/>
      <c r="H58" s="348"/>
      <c r="I58" s="347"/>
      <c r="J58" s="348"/>
      <c r="K58" s="348"/>
      <c r="L58" s="348"/>
      <c r="O58" s="348"/>
      <c r="P58" s="349"/>
      <c r="W58" s="347"/>
    </row>
    <row r="59" spans="1:26" x14ac:dyDescent="0.2">
      <c r="A59" s="345"/>
      <c r="B59" s="345"/>
      <c r="C59" s="345"/>
      <c r="D59" s="345"/>
      <c r="E59" s="353"/>
      <c r="F59" s="386"/>
      <c r="G59" s="348"/>
      <c r="H59" s="348"/>
      <c r="I59" s="347"/>
      <c r="J59" s="348"/>
      <c r="K59" s="348"/>
      <c r="L59" s="348"/>
      <c r="O59" s="348"/>
      <c r="P59" s="349"/>
    </row>
    <row r="60" spans="1:26" x14ac:dyDescent="0.2">
      <c r="A60" s="345"/>
      <c r="B60" s="345"/>
      <c r="C60" s="345"/>
      <c r="D60" s="345"/>
      <c r="E60" s="353"/>
      <c r="F60" s="386"/>
      <c r="G60" s="348"/>
      <c r="H60" s="348"/>
      <c r="I60" s="347"/>
      <c r="J60" s="348"/>
      <c r="K60" s="348"/>
      <c r="L60" s="348"/>
      <c r="O60" s="348"/>
      <c r="P60" s="349"/>
    </row>
    <row r="61" spans="1:26" x14ac:dyDescent="0.2">
      <c r="A61" s="345"/>
      <c r="B61" s="345"/>
      <c r="C61" s="345"/>
      <c r="D61" s="345"/>
      <c r="E61" s="353"/>
      <c r="F61" s="386"/>
      <c r="G61" s="348"/>
      <c r="H61" s="348"/>
      <c r="I61" s="347"/>
      <c r="J61" s="348"/>
      <c r="K61" s="348"/>
      <c r="L61" s="348"/>
      <c r="O61" s="348"/>
      <c r="P61" s="349"/>
    </row>
    <row r="62" spans="1:26" x14ac:dyDescent="0.2">
      <c r="A62" s="345"/>
      <c r="B62" s="345"/>
      <c r="C62" s="345"/>
      <c r="D62" s="345"/>
      <c r="E62" s="353"/>
      <c r="F62" s="386"/>
      <c r="G62" s="348"/>
      <c r="H62" s="348"/>
      <c r="I62" s="347"/>
      <c r="J62" s="348"/>
      <c r="K62" s="348"/>
      <c r="L62" s="348"/>
      <c r="O62" s="348"/>
      <c r="P62" s="349"/>
    </row>
    <row r="63" spans="1:26" x14ac:dyDescent="0.2">
      <c r="A63" s="345"/>
      <c r="B63" s="345"/>
      <c r="C63" s="345"/>
      <c r="D63" s="345"/>
      <c r="E63" s="353"/>
      <c r="F63" s="386"/>
      <c r="G63" s="348"/>
      <c r="H63" s="348"/>
      <c r="I63" s="347"/>
      <c r="J63" s="348"/>
      <c r="K63" s="348"/>
      <c r="L63" s="348"/>
      <c r="O63" s="348"/>
      <c r="P63" s="349"/>
    </row>
    <row r="64" spans="1:26" x14ac:dyDescent="0.2">
      <c r="A64" s="345"/>
      <c r="B64" s="345"/>
      <c r="C64" s="345"/>
      <c r="D64" s="345"/>
      <c r="E64" s="353"/>
      <c r="F64" s="386"/>
      <c r="G64" s="348"/>
      <c r="H64" s="348"/>
      <c r="I64" s="347"/>
      <c r="J64" s="348"/>
      <c r="K64" s="348"/>
      <c r="L64" s="348"/>
      <c r="O64" s="348"/>
      <c r="P64" s="349"/>
    </row>
    <row r="65" spans="1:22" x14ac:dyDescent="0.2">
      <c r="A65" s="345"/>
      <c r="B65" s="345"/>
      <c r="C65" s="345"/>
      <c r="D65" s="345"/>
      <c r="E65" s="353"/>
      <c r="F65" s="386"/>
      <c r="G65" s="348"/>
      <c r="H65" s="348"/>
      <c r="I65" s="347"/>
      <c r="J65" s="348"/>
      <c r="K65" s="348"/>
      <c r="L65" s="348"/>
      <c r="O65" s="348"/>
      <c r="P65" s="349"/>
    </row>
    <row r="66" spans="1:22" x14ac:dyDescent="0.2">
      <c r="A66" s="345"/>
      <c r="B66" s="345"/>
      <c r="C66" s="345"/>
      <c r="D66" s="345"/>
      <c r="E66" s="353"/>
      <c r="F66" s="386"/>
      <c r="G66" s="348"/>
      <c r="H66" s="348"/>
      <c r="I66" s="347"/>
      <c r="J66" s="348"/>
      <c r="K66" s="348"/>
      <c r="L66" s="348"/>
      <c r="O66" s="348"/>
      <c r="P66" s="349"/>
    </row>
    <row r="67" spans="1:22" x14ac:dyDescent="0.2">
      <c r="A67" s="345"/>
      <c r="B67" s="345"/>
      <c r="C67" s="345"/>
      <c r="D67" s="345"/>
      <c r="E67" s="353"/>
      <c r="F67" s="386"/>
      <c r="G67" s="348"/>
      <c r="H67" s="348"/>
      <c r="I67" s="347"/>
      <c r="J67" s="348"/>
      <c r="K67" s="348"/>
      <c r="L67" s="348"/>
      <c r="O67" s="348"/>
      <c r="P67" s="349"/>
    </row>
    <row r="68" spans="1:22" x14ac:dyDescent="0.2">
      <c r="A68" s="345"/>
      <c r="B68" s="345"/>
      <c r="C68" s="345"/>
      <c r="D68" s="345"/>
      <c r="E68" s="353"/>
      <c r="F68" s="386"/>
      <c r="G68" s="349"/>
      <c r="H68" s="348"/>
      <c r="I68" s="347"/>
      <c r="J68" s="348"/>
      <c r="K68" s="348"/>
      <c r="L68" s="348"/>
      <c r="O68" s="348"/>
      <c r="P68" s="349"/>
    </row>
    <row r="69" spans="1:22" x14ac:dyDescent="0.2">
      <c r="A69" s="345"/>
      <c r="B69" s="345"/>
      <c r="C69" s="345"/>
      <c r="D69" s="345"/>
      <c r="E69" s="353"/>
      <c r="F69" s="386"/>
      <c r="G69" s="349"/>
      <c r="H69" s="348"/>
      <c r="I69" s="347"/>
      <c r="J69" s="348"/>
      <c r="K69" s="348"/>
      <c r="L69" s="348"/>
      <c r="O69" s="348"/>
      <c r="P69" s="349"/>
    </row>
    <row r="70" spans="1:22" x14ac:dyDescent="0.2">
      <c r="A70" s="345"/>
      <c r="B70" s="345"/>
      <c r="C70" s="345"/>
      <c r="D70" s="345"/>
      <c r="E70" s="353"/>
      <c r="F70" s="386"/>
      <c r="G70" s="349"/>
      <c r="H70" s="348"/>
      <c r="I70" s="347"/>
      <c r="J70" s="348"/>
      <c r="K70" s="348"/>
      <c r="L70" s="348"/>
      <c r="O70" s="348"/>
      <c r="P70" s="349"/>
    </row>
    <row r="71" spans="1:22" x14ac:dyDescent="0.2">
      <c r="A71" s="345"/>
      <c r="B71" s="345"/>
      <c r="C71" s="345"/>
      <c r="D71" s="345"/>
      <c r="E71" s="353"/>
      <c r="F71" s="386"/>
      <c r="G71" s="349"/>
      <c r="H71" s="348"/>
      <c r="I71" s="347"/>
      <c r="J71" s="348"/>
      <c r="K71" s="348"/>
      <c r="L71" s="348"/>
      <c r="O71" s="348"/>
      <c r="P71" s="349"/>
    </row>
    <row r="72" spans="1:22" x14ac:dyDescent="0.2">
      <c r="A72" s="345"/>
      <c r="B72" s="345"/>
      <c r="C72" s="345"/>
      <c r="D72" s="345"/>
      <c r="E72" s="353"/>
      <c r="F72" s="386"/>
      <c r="G72" s="348"/>
      <c r="H72" s="348"/>
      <c r="I72" s="347"/>
      <c r="J72" s="348"/>
      <c r="K72" s="348"/>
      <c r="L72" s="348"/>
      <c r="O72" s="348"/>
      <c r="P72" s="349"/>
    </row>
    <row r="73" spans="1:22" x14ac:dyDescent="0.2">
      <c r="A73" s="345"/>
      <c r="B73" s="345"/>
      <c r="C73" s="345"/>
      <c r="D73" s="345"/>
      <c r="E73" s="353"/>
      <c r="F73" s="386"/>
      <c r="G73" s="348"/>
      <c r="H73" s="348"/>
      <c r="I73" s="347"/>
      <c r="J73" s="348"/>
      <c r="K73" s="348"/>
      <c r="L73" s="348"/>
      <c r="O73" s="348"/>
      <c r="P73" s="349"/>
    </row>
    <row r="74" spans="1:22" x14ac:dyDescent="0.2">
      <c r="A74" s="345"/>
      <c r="B74" s="345"/>
      <c r="C74" s="345"/>
      <c r="D74" s="345"/>
      <c r="E74" s="353"/>
      <c r="F74" s="386"/>
      <c r="G74" s="348"/>
      <c r="H74" s="348"/>
      <c r="I74" s="347"/>
      <c r="J74" s="348"/>
      <c r="K74" s="348"/>
      <c r="L74" s="348"/>
      <c r="O74" s="348"/>
      <c r="P74" s="349"/>
      <c r="R74" s="384"/>
      <c r="S74" s="384"/>
      <c r="T74" s="345"/>
      <c r="U74" s="345"/>
      <c r="V74" s="345"/>
    </row>
    <row r="75" spans="1:22" x14ac:dyDescent="0.2">
      <c r="A75" s="345"/>
      <c r="B75" s="345"/>
      <c r="C75" s="345"/>
      <c r="D75" s="345"/>
      <c r="E75" s="353"/>
      <c r="F75" s="386"/>
      <c r="G75" s="348"/>
      <c r="H75" s="348"/>
      <c r="I75" s="347"/>
      <c r="J75" s="348"/>
      <c r="K75" s="348"/>
      <c r="L75" s="348"/>
      <c r="O75" s="348"/>
      <c r="P75" s="349"/>
      <c r="R75" s="384"/>
      <c r="S75" s="384"/>
      <c r="T75" s="345"/>
      <c r="U75" s="345"/>
      <c r="V75" s="345"/>
    </row>
    <row r="76" spans="1:22" x14ac:dyDescent="0.2">
      <c r="A76" s="345"/>
      <c r="B76" s="345"/>
      <c r="C76" s="345"/>
      <c r="D76" s="345"/>
      <c r="E76" s="353"/>
      <c r="F76" s="386"/>
      <c r="G76" s="348"/>
      <c r="H76" s="348"/>
      <c r="I76" s="347"/>
      <c r="J76" s="348"/>
      <c r="K76" s="348"/>
      <c r="L76" s="348"/>
      <c r="O76" s="348"/>
      <c r="P76" s="349"/>
      <c r="R76" s="384"/>
      <c r="S76" s="384"/>
      <c r="T76" s="345"/>
      <c r="U76" s="345"/>
      <c r="V76" s="345"/>
    </row>
    <row r="77" spans="1:22" x14ac:dyDescent="0.2">
      <c r="A77" s="345"/>
      <c r="B77" s="345"/>
      <c r="C77" s="345"/>
      <c r="D77" s="345"/>
      <c r="E77" s="353"/>
      <c r="F77" s="386"/>
      <c r="G77" s="348"/>
      <c r="H77" s="348"/>
      <c r="I77" s="347"/>
      <c r="J77" s="348"/>
      <c r="K77" s="348"/>
      <c r="L77" s="348"/>
      <c r="O77" s="348"/>
      <c r="P77" s="349"/>
      <c r="R77" s="384"/>
      <c r="S77" s="384"/>
      <c r="T77" s="345"/>
      <c r="U77" s="345"/>
      <c r="V77" s="345"/>
    </row>
    <row r="78" spans="1:22" x14ac:dyDescent="0.2">
      <c r="A78" s="345"/>
      <c r="B78" s="345"/>
      <c r="C78" s="345"/>
      <c r="D78" s="345"/>
      <c r="E78" s="353"/>
      <c r="F78" s="386"/>
      <c r="G78" s="348"/>
      <c r="H78" s="348"/>
      <c r="I78" s="347"/>
      <c r="J78" s="348"/>
      <c r="K78" s="348"/>
      <c r="L78" s="348"/>
      <c r="O78" s="348"/>
      <c r="P78" s="349"/>
      <c r="R78" s="384"/>
      <c r="S78" s="384"/>
      <c r="T78" s="345"/>
      <c r="U78" s="345"/>
      <c r="V78" s="345"/>
    </row>
    <row r="79" spans="1:22" x14ac:dyDescent="0.2">
      <c r="A79" s="345"/>
      <c r="B79" s="345"/>
      <c r="C79" s="345"/>
      <c r="D79" s="345"/>
      <c r="E79" s="353"/>
      <c r="F79" s="386"/>
      <c r="G79" s="348"/>
      <c r="H79" s="348"/>
      <c r="I79" s="347"/>
      <c r="J79" s="348"/>
      <c r="K79" s="348"/>
      <c r="L79" s="348"/>
      <c r="N79" s="345"/>
      <c r="O79" s="345"/>
      <c r="P79" s="384"/>
      <c r="Q79" s="384"/>
      <c r="R79" s="384"/>
      <c r="S79" s="384"/>
      <c r="T79" s="345"/>
      <c r="U79" s="345"/>
      <c r="V79" s="345"/>
    </row>
    <row r="80" spans="1:22" x14ac:dyDescent="0.2">
      <c r="A80" s="345"/>
      <c r="B80" s="345"/>
      <c r="C80" s="345"/>
      <c r="D80" s="345"/>
      <c r="E80" s="353"/>
      <c r="F80" s="386"/>
      <c r="G80" s="348"/>
      <c r="H80" s="348"/>
      <c r="I80" s="347"/>
      <c r="J80" s="348"/>
      <c r="K80" s="348"/>
      <c r="L80" s="348"/>
      <c r="N80" s="345"/>
      <c r="O80" s="345"/>
      <c r="P80" s="384"/>
      <c r="Q80" s="384"/>
      <c r="R80" s="384"/>
      <c r="S80" s="384"/>
      <c r="T80" s="345"/>
      <c r="U80" s="345"/>
      <c r="V80" s="345"/>
    </row>
    <row r="81" spans="1:22" x14ac:dyDescent="0.2">
      <c r="A81" s="345"/>
      <c r="B81" s="345"/>
      <c r="C81" s="345"/>
      <c r="D81" s="345"/>
      <c r="E81" s="353"/>
      <c r="F81" s="386"/>
      <c r="G81" s="348"/>
      <c r="H81" s="348"/>
      <c r="I81" s="347"/>
      <c r="J81" s="348"/>
      <c r="K81" s="348"/>
      <c r="L81" s="348"/>
      <c r="N81" s="345"/>
      <c r="O81" s="345"/>
      <c r="P81" s="384"/>
      <c r="Q81" s="384"/>
      <c r="R81" s="384"/>
      <c r="S81" s="384"/>
      <c r="T81" s="345"/>
      <c r="U81" s="345"/>
      <c r="V81" s="345"/>
    </row>
    <row r="82" spans="1:22" x14ac:dyDescent="0.2">
      <c r="A82" s="345"/>
      <c r="B82" s="345"/>
      <c r="C82" s="345"/>
      <c r="D82" s="345"/>
      <c r="E82" s="353"/>
      <c r="F82" s="386"/>
      <c r="G82" s="348"/>
      <c r="H82" s="348"/>
      <c r="I82" s="347"/>
      <c r="J82" s="348"/>
      <c r="K82" s="348"/>
      <c r="L82" s="348"/>
      <c r="N82" s="345"/>
      <c r="O82" s="345"/>
      <c r="P82" s="384"/>
      <c r="Q82" s="384"/>
      <c r="R82" s="384"/>
      <c r="S82" s="384"/>
      <c r="T82" s="345"/>
      <c r="U82" s="345"/>
      <c r="V82" s="345"/>
    </row>
    <row r="83" spans="1:22" x14ac:dyDescent="0.2">
      <c r="A83" s="345"/>
      <c r="B83" s="345"/>
      <c r="C83" s="345"/>
      <c r="D83" s="345"/>
      <c r="E83" s="353"/>
      <c r="F83" s="386"/>
      <c r="G83" s="348"/>
      <c r="H83" s="348"/>
      <c r="I83" s="347"/>
      <c r="J83" s="348"/>
      <c r="K83" s="348"/>
      <c r="L83" s="348"/>
      <c r="N83" s="345"/>
      <c r="O83" s="345"/>
      <c r="P83" s="384"/>
      <c r="Q83" s="384"/>
      <c r="R83" s="384"/>
      <c r="S83" s="384"/>
      <c r="T83" s="345"/>
      <c r="U83" s="345"/>
      <c r="V83" s="345"/>
    </row>
    <row r="84" spans="1:22" x14ac:dyDescent="0.2">
      <c r="A84" s="345"/>
      <c r="B84" s="345"/>
      <c r="C84" s="345"/>
      <c r="D84" s="345"/>
      <c r="E84" s="353"/>
      <c r="F84" s="386"/>
      <c r="G84" s="348"/>
      <c r="H84" s="348"/>
      <c r="I84" s="347"/>
      <c r="J84" s="348"/>
      <c r="K84" s="348"/>
      <c r="L84" s="348"/>
      <c r="N84" s="345"/>
      <c r="O84" s="345"/>
      <c r="P84" s="384"/>
      <c r="Q84" s="384"/>
      <c r="R84" s="384"/>
      <c r="S84" s="384"/>
      <c r="T84" s="345"/>
      <c r="U84" s="345"/>
      <c r="V84" s="345"/>
    </row>
    <row r="85" spans="1:22" x14ac:dyDescent="0.2">
      <c r="A85" s="345"/>
      <c r="B85" s="345"/>
      <c r="C85" s="345"/>
      <c r="D85" s="345"/>
      <c r="E85" s="353"/>
      <c r="F85" s="386"/>
      <c r="G85" s="348"/>
      <c r="H85" s="348"/>
      <c r="I85" s="347"/>
      <c r="J85" s="348"/>
      <c r="K85" s="348"/>
      <c r="L85" s="348"/>
      <c r="N85" s="345"/>
      <c r="O85" s="345"/>
      <c r="P85" s="384"/>
      <c r="Q85" s="384"/>
      <c r="R85" s="384"/>
      <c r="S85" s="384"/>
      <c r="T85" s="345"/>
      <c r="U85" s="345"/>
      <c r="V85" s="345"/>
    </row>
    <row r="86" spans="1:22" x14ac:dyDescent="0.2">
      <c r="A86" s="345"/>
      <c r="B86" s="345"/>
      <c r="C86" s="345"/>
      <c r="D86" s="345"/>
      <c r="E86" s="353"/>
      <c r="F86" s="386"/>
      <c r="G86" s="348"/>
      <c r="H86" s="348"/>
      <c r="I86" s="347"/>
      <c r="J86" s="348"/>
      <c r="K86" s="348"/>
      <c r="L86" s="348"/>
      <c r="N86" s="345"/>
      <c r="O86" s="345"/>
      <c r="P86" s="384"/>
      <c r="Q86" s="384"/>
      <c r="R86" s="384"/>
      <c r="S86" s="384"/>
      <c r="T86" s="345"/>
      <c r="U86" s="345"/>
      <c r="V86" s="345"/>
    </row>
    <row r="87" spans="1:22" x14ac:dyDescent="0.2">
      <c r="A87" s="345"/>
      <c r="B87" s="345"/>
      <c r="C87" s="345"/>
      <c r="D87" s="345"/>
      <c r="E87" s="353"/>
      <c r="F87" s="386"/>
      <c r="G87" s="348"/>
      <c r="H87" s="348"/>
      <c r="I87" s="347"/>
      <c r="J87" s="348"/>
      <c r="K87" s="348"/>
      <c r="L87" s="348"/>
      <c r="N87" s="345"/>
      <c r="O87" s="345"/>
      <c r="P87" s="384"/>
      <c r="Q87" s="384"/>
      <c r="R87" s="384"/>
      <c r="S87" s="384"/>
      <c r="T87" s="345"/>
      <c r="U87" s="345"/>
      <c r="V87" s="345"/>
    </row>
    <row r="88" spans="1:22" x14ac:dyDescent="0.2">
      <c r="A88" s="345"/>
      <c r="B88" s="345"/>
      <c r="C88" s="345"/>
      <c r="D88" s="345"/>
      <c r="E88" s="353"/>
      <c r="F88" s="386"/>
      <c r="G88" s="348"/>
      <c r="H88" s="348"/>
      <c r="I88" s="347"/>
      <c r="J88" s="348"/>
      <c r="K88" s="348"/>
      <c r="L88" s="348"/>
      <c r="N88" s="345"/>
      <c r="O88" s="345"/>
      <c r="P88" s="384"/>
      <c r="Q88" s="384"/>
      <c r="R88" s="384"/>
      <c r="S88" s="384"/>
      <c r="T88" s="345"/>
      <c r="U88" s="345"/>
      <c r="V88" s="345"/>
    </row>
    <row r="89" spans="1:22" x14ac:dyDescent="0.2">
      <c r="A89" s="345"/>
      <c r="B89" s="345"/>
      <c r="C89" s="345"/>
      <c r="D89" s="345"/>
      <c r="E89" s="353"/>
      <c r="F89" s="386"/>
      <c r="G89" s="348"/>
      <c r="H89" s="348"/>
      <c r="I89" s="347"/>
      <c r="J89" s="348"/>
      <c r="K89" s="348"/>
      <c r="L89" s="348"/>
      <c r="N89" s="345"/>
      <c r="O89" s="345"/>
      <c r="P89" s="384"/>
      <c r="Q89" s="384"/>
      <c r="R89" s="384"/>
      <c r="S89" s="384"/>
      <c r="T89" s="345"/>
      <c r="U89" s="345"/>
      <c r="V89" s="345"/>
    </row>
    <row r="90" spans="1:22" x14ac:dyDescent="0.2">
      <c r="A90" s="345"/>
      <c r="B90" s="345"/>
      <c r="C90" s="345"/>
      <c r="D90" s="345"/>
      <c r="E90" s="353"/>
      <c r="F90" s="386"/>
      <c r="G90" s="348"/>
      <c r="H90" s="348"/>
      <c r="I90" s="347"/>
      <c r="J90" s="348"/>
      <c r="K90" s="348"/>
      <c r="L90" s="348"/>
      <c r="N90" s="345"/>
      <c r="O90" s="345"/>
      <c r="P90" s="384"/>
      <c r="Q90" s="384"/>
      <c r="R90" s="384"/>
      <c r="S90" s="384"/>
      <c r="T90" s="345"/>
      <c r="U90" s="345"/>
      <c r="V90" s="345"/>
    </row>
    <row r="91" spans="1:22" s="345" customFormat="1" x14ac:dyDescent="0.2">
      <c r="E91" s="353"/>
      <c r="F91" s="386"/>
      <c r="G91" s="348"/>
      <c r="H91" s="348"/>
      <c r="I91" s="347"/>
      <c r="J91" s="348"/>
      <c r="K91" s="348"/>
      <c r="L91" s="348"/>
      <c r="M91" s="348"/>
      <c r="P91" s="384"/>
      <c r="Q91" s="384"/>
      <c r="R91" s="384"/>
      <c r="S91" s="384"/>
    </row>
    <row r="92" spans="1:22" s="345" customFormat="1" x14ac:dyDescent="0.2">
      <c r="E92" s="353"/>
      <c r="F92" s="386"/>
      <c r="G92" s="348"/>
      <c r="H92" s="348"/>
      <c r="I92" s="347"/>
      <c r="J92" s="348"/>
      <c r="K92" s="348"/>
      <c r="L92" s="348"/>
      <c r="M92" s="348"/>
      <c r="P92" s="384"/>
      <c r="Q92" s="384"/>
      <c r="R92" s="384"/>
      <c r="S92" s="384"/>
    </row>
    <row r="93" spans="1:22" s="345" customFormat="1" x14ac:dyDescent="0.2">
      <c r="E93" s="353"/>
      <c r="F93" s="386"/>
      <c r="G93" s="348"/>
      <c r="H93" s="348"/>
      <c r="I93" s="347"/>
      <c r="J93" s="348"/>
      <c r="K93" s="348"/>
      <c r="L93" s="348"/>
      <c r="M93" s="348"/>
      <c r="P93" s="384"/>
      <c r="Q93" s="384"/>
      <c r="R93" s="384"/>
      <c r="S93" s="384"/>
    </row>
    <row r="94" spans="1:22" s="345" customFormat="1" x14ac:dyDescent="0.2">
      <c r="E94" s="353"/>
      <c r="F94" s="386"/>
      <c r="G94" s="348"/>
      <c r="H94" s="348"/>
      <c r="I94" s="347"/>
      <c r="J94" s="348"/>
      <c r="K94" s="348"/>
      <c r="L94" s="348"/>
      <c r="P94" s="384"/>
      <c r="Q94" s="384"/>
      <c r="R94" s="384"/>
      <c r="S94" s="384"/>
    </row>
    <row r="95" spans="1:22" s="345" customFormat="1" x14ac:dyDescent="0.2">
      <c r="E95" s="353"/>
      <c r="F95" s="386"/>
      <c r="G95" s="348"/>
      <c r="H95" s="348"/>
      <c r="I95" s="347"/>
      <c r="J95" s="348"/>
      <c r="K95" s="348"/>
      <c r="L95" s="348"/>
      <c r="P95" s="384"/>
      <c r="Q95" s="384"/>
      <c r="R95" s="384"/>
      <c r="S95" s="384"/>
    </row>
    <row r="96" spans="1:22" s="345" customFormat="1" x14ac:dyDescent="0.2">
      <c r="E96" s="353"/>
      <c r="F96" s="386"/>
      <c r="G96" s="348"/>
      <c r="H96" s="348"/>
      <c r="I96" s="347"/>
      <c r="J96" s="348"/>
      <c r="K96" s="348"/>
      <c r="L96" s="348"/>
      <c r="P96" s="384"/>
      <c r="Q96" s="384"/>
      <c r="R96" s="384"/>
      <c r="S96" s="384"/>
    </row>
    <row r="97" spans="5:19" s="345" customFormat="1" x14ac:dyDescent="0.2">
      <c r="E97" s="353"/>
      <c r="F97" s="386"/>
      <c r="G97" s="348"/>
      <c r="H97" s="348"/>
      <c r="I97" s="347"/>
      <c r="J97" s="348"/>
      <c r="K97" s="348"/>
      <c r="L97" s="348"/>
      <c r="P97" s="384"/>
      <c r="Q97" s="384"/>
      <c r="R97" s="384"/>
      <c r="S97" s="384"/>
    </row>
    <row r="98" spans="5:19" s="345" customFormat="1" x14ac:dyDescent="0.2">
      <c r="E98" s="353"/>
      <c r="F98" s="386"/>
      <c r="G98" s="348"/>
      <c r="H98" s="348"/>
      <c r="I98" s="347"/>
      <c r="J98" s="348"/>
      <c r="K98" s="348"/>
      <c r="L98" s="348"/>
      <c r="P98" s="384"/>
      <c r="Q98" s="384"/>
      <c r="R98" s="384"/>
      <c r="S98" s="384"/>
    </row>
    <row r="99" spans="5:19" s="345" customFormat="1" x14ac:dyDescent="0.2">
      <c r="E99" s="353"/>
      <c r="F99" s="386"/>
      <c r="G99" s="348"/>
      <c r="H99" s="348"/>
      <c r="I99" s="347"/>
      <c r="J99" s="348"/>
      <c r="K99" s="348"/>
      <c r="L99" s="348"/>
      <c r="P99" s="384"/>
      <c r="Q99" s="384"/>
      <c r="R99" s="384"/>
      <c r="S99" s="384"/>
    </row>
    <row r="100" spans="5:19" s="345" customFormat="1" x14ac:dyDescent="0.2">
      <c r="E100" s="353"/>
      <c r="F100" s="386"/>
      <c r="G100" s="348"/>
      <c r="H100" s="348"/>
      <c r="I100" s="347"/>
      <c r="J100" s="348"/>
      <c r="K100" s="348"/>
      <c r="L100" s="348"/>
      <c r="P100" s="384"/>
      <c r="Q100" s="384"/>
      <c r="R100" s="384"/>
      <c r="S100" s="384"/>
    </row>
    <row r="101" spans="5:19" s="345" customFormat="1" x14ac:dyDescent="0.2">
      <c r="E101" s="353"/>
      <c r="F101" s="386"/>
      <c r="G101" s="348"/>
      <c r="H101" s="348"/>
      <c r="I101" s="347"/>
      <c r="J101" s="348"/>
      <c r="K101" s="348"/>
      <c r="L101" s="348"/>
      <c r="P101" s="384"/>
      <c r="Q101" s="384"/>
      <c r="R101" s="384"/>
      <c r="S101" s="384"/>
    </row>
    <row r="102" spans="5:19" s="345" customFormat="1" x14ac:dyDescent="0.2">
      <c r="E102" s="353"/>
      <c r="F102" s="386"/>
      <c r="G102" s="348"/>
      <c r="H102" s="348"/>
      <c r="I102" s="347"/>
      <c r="J102" s="348"/>
      <c r="K102" s="348"/>
      <c r="L102" s="348"/>
      <c r="P102" s="384"/>
      <c r="Q102" s="384"/>
      <c r="R102" s="384"/>
      <c r="S102" s="384"/>
    </row>
    <row r="103" spans="5:19" s="345" customFormat="1" x14ac:dyDescent="0.2">
      <c r="E103" s="353"/>
      <c r="F103" s="386"/>
      <c r="G103" s="348"/>
      <c r="H103" s="348"/>
      <c r="I103" s="347"/>
      <c r="J103" s="348"/>
      <c r="K103" s="348"/>
      <c r="L103" s="348"/>
      <c r="P103" s="384"/>
      <c r="Q103" s="384"/>
      <c r="R103" s="384"/>
      <c r="S103" s="384"/>
    </row>
    <row r="104" spans="5:19" s="345" customFormat="1" x14ac:dyDescent="0.2">
      <c r="E104" s="353"/>
      <c r="F104" s="386"/>
      <c r="G104" s="348"/>
      <c r="H104" s="348"/>
      <c r="I104" s="347"/>
      <c r="J104" s="348"/>
      <c r="K104" s="348"/>
      <c r="L104" s="348"/>
      <c r="P104" s="384"/>
      <c r="Q104" s="384"/>
      <c r="R104" s="384"/>
      <c r="S104" s="384"/>
    </row>
    <row r="105" spans="5:19" s="345" customFormat="1" x14ac:dyDescent="0.2">
      <c r="E105" s="353"/>
      <c r="F105" s="386"/>
      <c r="G105" s="348"/>
      <c r="H105" s="348"/>
      <c r="I105" s="347"/>
      <c r="J105" s="348"/>
      <c r="K105" s="348"/>
      <c r="L105" s="348"/>
      <c r="P105" s="384"/>
      <c r="Q105" s="384"/>
      <c r="R105" s="384"/>
      <c r="S105" s="384"/>
    </row>
    <row r="106" spans="5:19" s="345" customFormat="1" x14ac:dyDescent="0.2">
      <c r="E106" s="353"/>
      <c r="F106" s="386"/>
      <c r="G106" s="348"/>
      <c r="H106" s="348"/>
      <c r="I106" s="347"/>
      <c r="J106" s="348"/>
      <c r="K106" s="348"/>
      <c r="L106" s="348"/>
      <c r="P106" s="384"/>
      <c r="Q106" s="384"/>
      <c r="R106" s="384"/>
      <c r="S106" s="384"/>
    </row>
    <row r="107" spans="5:19" s="345" customFormat="1" x14ac:dyDescent="0.2">
      <c r="E107" s="353"/>
      <c r="F107" s="386"/>
      <c r="G107" s="348"/>
      <c r="H107" s="348"/>
      <c r="I107" s="347"/>
      <c r="J107" s="348"/>
      <c r="K107" s="348"/>
      <c r="L107" s="348"/>
      <c r="P107" s="384"/>
      <c r="Q107" s="384"/>
      <c r="R107" s="384"/>
      <c r="S107" s="384"/>
    </row>
    <row r="108" spans="5:19" s="345" customFormat="1" x14ac:dyDescent="0.2">
      <c r="E108" s="353"/>
      <c r="F108" s="386"/>
      <c r="G108" s="348"/>
      <c r="H108" s="348"/>
      <c r="I108" s="347"/>
      <c r="J108" s="348"/>
      <c r="K108" s="348"/>
      <c r="L108" s="348"/>
      <c r="P108" s="384"/>
      <c r="Q108" s="384"/>
      <c r="R108" s="384"/>
      <c r="S108" s="384"/>
    </row>
    <row r="109" spans="5:19" s="345" customFormat="1" x14ac:dyDescent="0.2">
      <c r="E109" s="353"/>
      <c r="F109" s="386"/>
      <c r="G109" s="348"/>
      <c r="H109" s="348"/>
      <c r="I109" s="347"/>
      <c r="J109" s="348"/>
      <c r="K109" s="348"/>
      <c r="L109" s="348"/>
      <c r="P109" s="384"/>
      <c r="Q109" s="384"/>
      <c r="R109" s="384"/>
      <c r="S109" s="384"/>
    </row>
    <row r="110" spans="5:19" s="345" customFormat="1" x14ac:dyDescent="0.2">
      <c r="E110" s="353"/>
      <c r="F110" s="386"/>
      <c r="G110" s="348"/>
      <c r="H110" s="348"/>
      <c r="I110" s="347"/>
      <c r="J110" s="348"/>
      <c r="K110" s="348"/>
      <c r="L110" s="348"/>
      <c r="P110" s="384"/>
      <c r="Q110" s="384"/>
      <c r="R110" s="384"/>
      <c r="S110" s="384"/>
    </row>
    <row r="111" spans="5:19" s="345" customFormat="1" x14ac:dyDescent="0.2">
      <c r="E111" s="353"/>
      <c r="F111" s="386"/>
      <c r="G111" s="348"/>
      <c r="H111" s="348"/>
      <c r="I111" s="347"/>
      <c r="J111" s="348"/>
      <c r="K111" s="348"/>
      <c r="L111" s="348"/>
      <c r="P111" s="384"/>
      <c r="Q111" s="384"/>
      <c r="R111" s="384"/>
      <c r="S111" s="384"/>
    </row>
    <row r="112" spans="5:19" s="345" customFormat="1" x14ac:dyDescent="0.2">
      <c r="E112" s="353"/>
      <c r="F112" s="386"/>
      <c r="G112" s="348"/>
      <c r="H112" s="348"/>
      <c r="I112" s="347"/>
      <c r="J112" s="348"/>
      <c r="K112" s="348"/>
      <c r="L112" s="348"/>
      <c r="P112" s="384"/>
      <c r="Q112" s="384"/>
      <c r="R112" s="384"/>
      <c r="S112" s="384"/>
    </row>
    <row r="113" spans="5:19" s="345" customFormat="1" x14ac:dyDescent="0.2">
      <c r="E113" s="353"/>
      <c r="F113" s="386"/>
      <c r="G113" s="348"/>
      <c r="H113" s="348"/>
      <c r="I113" s="347"/>
      <c r="J113" s="348"/>
      <c r="K113" s="348"/>
      <c r="L113" s="348"/>
      <c r="P113" s="384"/>
      <c r="Q113" s="384"/>
      <c r="R113" s="384"/>
      <c r="S113" s="384"/>
    </row>
    <row r="114" spans="5:19" s="345" customFormat="1" x14ac:dyDescent="0.2">
      <c r="E114" s="353"/>
      <c r="F114" s="386"/>
      <c r="G114" s="348"/>
      <c r="H114" s="348"/>
      <c r="I114" s="347"/>
      <c r="J114" s="348"/>
      <c r="K114" s="348"/>
      <c r="L114" s="348"/>
      <c r="P114" s="384"/>
      <c r="Q114" s="384"/>
      <c r="R114" s="384"/>
      <c r="S114" s="384"/>
    </row>
    <row r="115" spans="5:19" s="345" customFormat="1" x14ac:dyDescent="0.2">
      <c r="E115" s="353"/>
      <c r="F115" s="386"/>
      <c r="G115" s="348"/>
      <c r="H115" s="348"/>
      <c r="I115" s="347"/>
      <c r="J115" s="348"/>
      <c r="K115" s="348"/>
      <c r="L115" s="348"/>
      <c r="P115" s="384"/>
      <c r="Q115" s="384"/>
      <c r="R115" s="384"/>
      <c r="S115" s="384"/>
    </row>
    <row r="116" spans="5:19" s="345" customFormat="1" x14ac:dyDescent="0.2">
      <c r="E116" s="353"/>
      <c r="F116" s="386"/>
      <c r="G116" s="348"/>
      <c r="H116" s="348"/>
      <c r="I116" s="347"/>
      <c r="J116" s="348"/>
      <c r="K116" s="348"/>
      <c r="L116" s="348"/>
      <c r="P116" s="384"/>
      <c r="Q116" s="384"/>
      <c r="R116" s="384"/>
      <c r="S116" s="384"/>
    </row>
    <row r="117" spans="5:19" s="345" customFormat="1" x14ac:dyDescent="0.2">
      <c r="E117" s="353"/>
      <c r="F117" s="386"/>
      <c r="G117" s="348"/>
      <c r="H117" s="348"/>
      <c r="I117" s="347"/>
      <c r="J117" s="348"/>
      <c r="K117" s="348"/>
      <c r="L117" s="348"/>
      <c r="P117" s="384"/>
      <c r="Q117" s="384"/>
      <c r="R117" s="384"/>
      <c r="S117" s="384"/>
    </row>
    <row r="118" spans="5:19" s="345" customFormat="1" x14ac:dyDescent="0.2">
      <c r="E118" s="353"/>
      <c r="F118" s="386"/>
      <c r="G118" s="348"/>
      <c r="H118" s="348"/>
      <c r="I118" s="347"/>
      <c r="J118" s="348"/>
      <c r="K118" s="348"/>
      <c r="L118" s="348"/>
      <c r="P118" s="384"/>
      <c r="Q118" s="384"/>
      <c r="R118" s="384"/>
      <c r="S118" s="384"/>
    </row>
    <row r="119" spans="5:19" s="345" customFormat="1" x14ac:dyDescent="0.2">
      <c r="E119" s="353"/>
      <c r="F119" s="386"/>
      <c r="G119" s="348"/>
      <c r="H119" s="348"/>
      <c r="I119" s="347"/>
      <c r="J119" s="348"/>
      <c r="K119" s="348"/>
      <c r="L119" s="348"/>
      <c r="P119" s="384"/>
      <c r="Q119" s="384"/>
      <c r="R119" s="384"/>
      <c r="S119" s="384"/>
    </row>
    <row r="120" spans="5:19" s="345" customFormat="1" x14ac:dyDescent="0.2">
      <c r="E120" s="353"/>
      <c r="F120" s="386"/>
      <c r="G120" s="348"/>
      <c r="H120" s="348"/>
      <c r="I120" s="347"/>
      <c r="J120" s="348"/>
      <c r="K120" s="348"/>
      <c r="L120" s="348"/>
      <c r="P120" s="384"/>
      <c r="Q120" s="384"/>
      <c r="R120" s="384"/>
      <c r="S120" s="384"/>
    </row>
    <row r="121" spans="5:19" s="345" customFormat="1" x14ac:dyDescent="0.2">
      <c r="E121" s="353"/>
      <c r="F121" s="386"/>
      <c r="G121" s="348"/>
      <c r="H121" s="348"/>
      <c r="I121" s="347"/>
      <c r="J121" s="348"/>
      <c r="K121" s="348"/>
      <c r="L121" s="348"/>
      <c r="P121" s="384"/>
      <c r="Q121" s="384"/>
      <c r="R121" s="384"/>
      <c r="S121" s="384"/>
    </row>
    <row r="122" spans="5:19" s="345" customFormat="1" x14ac:dyDescent="0.2">
      <c r="E122" s="353"/>
      <c r="F122" s="386"/>
      <c r="G122" s="348"/>
      <c r="H122" s="348"/>
      <c r="I122" s="347"/>
      <c r="J122" s="348"/>
      <c r="K122" s="348"/>
      <c r="L122" s="348"/>
      <c r="P122" s="384"/>
      <c r="Q122" s="384"/>
      <c r="R122" s="384"/>
      <c r="S122" s="384"/>
    </row>
    <row r="123" spans="5:19" s="345" customFormat="1" x14ac:dyDescent="0.2">
      <c r="E123" s="353"/>
      <c r="F123" s="386"/>
      <c r="G123" s="348"/>
      <c r="H123" s="348"/>
      <c r="I123" s="347"/>
      <c r="J123" s="348"/>
      <c r="K123" s="348"/>
      <c r="L123" s="348"/>
      <c r="P123" s="384"/>
      <c r="Q123" s="384"/>
      <c r="R123" s="384"/>
      <c r="S123" s="384"/>
    </row>
    <row r="124" spans="5:19" s="345" customFormat="1" x14ac:dyDescent="0.2">
      <c r="E124" s="353"/>
      <c r="F124" s="386"/>
      <c r="G124" s="348"/>
      <c r="H124" s="348"/>
      <c r="I124" s="347"/>
      <c r="J124" s="348"/>
      <c r="K124" s="348"/>
      <c r="L124" s="348"/>
      <c r="P124" s="384"/>
      <c r="Q124" s="384"/>
      <c r="R124" s="384"/>
      <c r="S124" s="384"/>
    </row>
    <row r="125" spans="5:19" s="345" customFormat="1" x14ac:dyDescent="0.2">
      <c r="E125" s="353"/>
      <c r="F125" s="386"/>
      <c r="G125" s="348"/>
      <c r="H125" s="348"/>
      <c r="I125" s="347"/>
      <c r="J125" s="348"/>
      <c r="K125" s="348"/>
      <c r="L125" s="348"/>
      <c r="P125" s="384"/>
      <c r="Q125" s="384"/>
      <c r="R125" s="384"/>
      <c r="S125" s="384"/>
    </row>
    <row r="126" spans="5:19" s="345" customFormat="1" x14ac:dyDescent="0.2">
      <c r="E126" s="353"/>
      <c r="F126" s="386"/>
      <c r="G126" s="348"/>
      <c r="H126" s="348"/>
      <c r="I126" s="347"/>
      <c r="J126" s="348"/>
      <c r="K126" s="348"/>
      <c r="L126" s="348"/>
      <c r="P126" s="384"/>
      <c r="Q126" s="384"/>
      <c r="R126" s="384"/>
      <c r="S126" s="384"/>
    </row>
    <row r="127" spans="5:19" s="345" customFormat="1" x14ac:dyDescent="0.2">
      <c r="E127" s="353"/>
      <c r="F127" s="386"/>
      <c r="G127" s="348"/>
      <c r="H127" s="348"/>
      <c r="I127" s="347"/>
      <c r="J127" s="348"/>
      <c r="K127" s="348"/>
      <c r="L127" s="348"/>
      <c r="P127" s="384"/>
      <c r="Q127" s="384"/>
      <c r="R127" s="384"/>
      <c r="S127" s="384"/>
    </row>
    <row r="128" spans="5:19" s="345" customFormat="1" x14ac:dyDescent="0.2">
      <c r="E128" s="353"/>
      <c r="F128" s="386"/>
      <c r="G128" s="348"/>
      <c r="H128" s="348"/>
      <c r="I128" s="347"/>
      <c r="J128" s="348"/>
      <c r="K128" s="348"/>
      <c r="L128" s="348"/>
      <c r="P128" s="384"/>
      <c r="Q128" s="384"/>
      <c r="R128" s="384"/>
      <c r="S128" s="384"/>
    </row>
    <row r="129" spans="1:22" s="345" customFormat="1" x14ac:dyDescent="0.2">
      <c r="E129" s="353"/>
      <c r="F129" s="386"/>
      <c r="G129" s="348"/>
      <c r="H129" s="348"/>
      <c r="I129" s="347"/>
      <c r="J129" s="348"/>
      <c r="K129" s="348"/>
      <c r="L129" s="348"/>
      <c r="P129" s="384"/>
      <c r="Q129" s="384"/>
      <c r="R129" s="384"/>
      <c r="S129" s="384"/>
    </row>
    <row r="130" spans="1:22" s="345" customFormat="1" x14ac:dyDescent="0.2">
      <c r="E130" s="353"/>
      <c r="F130" s="386"/>
      <c r="G130" s="348"/>
      <c r="H130" s="348"/>
      <c r="I130" s="347"/>
      <c r="J130" s="348"/>
      <c r="K130" s="348"/>
      <c r="L130" s="348"/>
      <c r="P130" s="384"/>
      <c r="Q130" s="384"/>
      <c r="R130" s="384"/>
      <c r="S130" s="384"/>
    </row>
    <row r="131" spans="1:22" s="345" customFormat="1" x14ac:dyDescent="0.2">
      <c r="E131" s="353"/>
      <c r="F131" s="386"/>
      <c r="G131" s="348"/>
      <c r="H131" s="348"/>
      <c r="I131" s="347"/>
      <c r="J131" s="348"/>
      <c r="K131" s="348"/>
      <c r="L131" s="348"/>
      <c r="P131" s="384"/>
      <c r="Q131" s="384"/>
      <c r="R131" s="349"/>
      <c r="S131" s="349"/>
      <c r="T131" s="348"/>
      <c r="U131" s="348"/>
      <c r="V131" s="348"/>
    </row>
    <row r="132" spans="1:22" s="345" customFormat="1" x14ac:dyDescent="0.2">
      <c r="E132" s="353"/>
      <c r="F132" s="386"/>
      <c r="G132" s="348"/>
      <c r="H132" s="348"/>
      <c r="I132" s="347"/>
      <c r="J132" s="348"/>
      <c r="K132" s="348"/>
      <c r="L132" s="348"/>
      <c r="P132" s="384"/>
      <c r="Q132" s="384"/>
      <c r="R132" s="349"/>
      <c r="S132" s="349"/>
      <c r="T132" s="348"/>
      <c r="U132" s="348"/>
      <c r="V132" s="348"/>
    </row>
    <row r="133" spans="1:22" s="345" customFormat="1" x14ac:dyDescent="0.2">
      <c r="E133" s="353"/>
      <c r="F133" s="386"/>
      <c r="G133" s="348"/>
      <c r="H133" s="348"/>
      <c r="I133" s="347"/>
      <c r="J133" s="348"/>
      <c r="K133" s="348"/>
      <c r="L133" s="348"/>
      <c r="P133" s="384"/>
      <c r="Q133" s="384"/>
      <c r="R133" s="349"/>
      <c r="S133" s="349"/>
      <c r="T133" s="348"/>
      <c r="U133" s="348"/>
      <c r="V133" s="348"/>
    </row>
    <row r="134" spans="1:22" s="345" customFormat="1" x14ac:dyDescent="0.2">
      <c r="E134" s="353"/>
      <c r="F134" s="386"/>
      <c r="G134" s="348"/>
      <c r="H134" s="348"/>
      <c r="I134" s="347"/>
      <c r="J134" s="348"/>
      <c r="K134" s="348"/>
      <c r="L134" s="348"/>
      <c r="P134" s="384"/>
      <c r="Q134" s="384"/>
      <c r="R134" s="349"/>
      <c r="S134" s="349"/>
      <c r="T134" s="348"/>
      <c r="U134" s="348"/>
      <c r="V134" s="348"/>
    </row>
    <row r="135" spans="1:22" s="345" customFormat="1" x14ac:dyDescent="0.2">
      <c r="E135" s="353"/>
      <c r="F135" s="386"/>
      <c r="G135" s="348"/>
      <c r="H135" s="348"/>
      <c r="I135" s="347"/>
      <c r="J135" s="348"/>
      <c r="K135" s="348"/>
      <c r="L135" s="348"/>
      <c r="P135" s="384"/>
      <c r="Q135" s="384"/>
      <c r="R135" s="349"/>
      <c r="S135" s="349"/>
      <c r="T135" s="348"/>
      <c r="U135" s="348"/>
      <c r="V135" s="348"/>
    </row>
    <row r="136" spans="1:22" s="345" customFormat="1" x14ac:dyDescent="0.2">
      <c r="E136" s="353"/>
      <c r="F136" s="386"/>
      <c r="G136" s="348"/>
      <c r="H136" s="348"/>
      <c r="I136" s="347"/>
      <c r="J136" s="348"/>
      <c r="K136" s="348"/>
      <c r="L136" s="348"/>
      <c r="N136" s="348"/>
      <c r="O136" s="347"/>
      <c r="P136" s="396"/>
      <c r="Q136" s="349"/>
      <c r="R136" s="349"/>
      <c r="S136" s="349"/>
      <c r="T136" s="348"/>
      <c r="U136" s="348"/>
      <c r="V136" s="348"/>
    </row>
    <row r="137" spans="1:22" s="345" customFormat="1" x14ac:dyDescent="0.2">
      <c r="E137" s="353"/>
      <c r="F137" s="386"/>
      <c r="G137" s="348"/>
      <c r="H137" s="348"/>
      <c r="I137" s="347"/>
      <c r="J137" s="348"/>
      <c r="K137" s="348"/>
      <c r="L137" s="348"/>
      <c r="N137" s="348"/>
      <c r="O137" s="347"/>
      <c r="P137" s="396"/>
      <c r="Q137" s="349"/>
      <c r="R137" s="349"/>
      <c r="S137" s="349"/>
      <c r="T137" s="348"/>
      <c r="U137" s="348"/>
      <c r="V137" s="348"/>
    </row>
    <row r="138" spans="1:22" s="345" customFormat="1" x14ac:dyDescent="0.2">
      <c r="E138" s="353"/>
      <c r="F138" s="386"/>
      <c r="G138" s="348"/>
      <c r="H138" s="348"/>
      <c r="I138" s="347"/>
      <c r="J138" s="348"/>
      <c r="K138" s="348"/>
      <c r="L138" s="348"/>
      <c r="N138" s="348"/>
      <c r="O138" s="347"/>
      <c r="P138" s="396"/>
      <c r="Q138" s="349"/>
      <c r="R138" s="349"/>
      <c r="S138" s="349"/>
      <c r="T138" s="348"/>
      <c r="U138" s="348"/>
      <c r="V138" s="348"/>
    </row>
    <row r="139" spans="1:22" s="345" customFormat="1" x14ac:dyDescent="0.2">
      <c r="E139" s="353"/>
      <c r="F139" s="386"/>
      <c r="G139" s="348"/>
      <c r="H139" s="348"/>
      <c r="I139" s="347"/>
      <c r="J139" s="348"/>
      <c r="K139" s="348"/>
      <c r="L139" s="348"/>
      <c r="N139" s="348"/>
      <c r="O139" s="347"/>
      <c r="P139" s="396"/>
      <c r="Q139" s="349"/>
      <c r="R139" s="349"/>
      <c r="S139" s="349"/>
      <c r="T139" s="348"/>
      <c r="U139" s="348"/>
      <c r="V139" s="348"/>
    </row>
    <row r="140" spans="1:22" s="345" customFormat="1" x14ac:dyDescent="0.2">
      <c r="A140" s="348"/>
      <c r="B140" s="348"/>
      <c r="C140" s="397"/>
      <c r="D140" s="397"/>
      <c r="E140" s="397"/>
      <c r="F140" s="397"/>
      <c r="H140" s="384"/>
      <c r="J140" s="348"/>
      <c r="K140" s="348"/>
      <c r="L140" s="348"/>
      <c r="N140" s="348"/>
      <c r="O140" s="347"/>
      <c r="P140" s="396"/>
      <c r="Q140" s="349"/>
      <c r="R140" s="349"/>
      <c r="S140" s="349"/>
      <c r="T140" s="348"/>
      <c r="U140" s="348"/>
      <c r="V140" s="348"/>
    </row>
    <row r="141" spans="1:22" s="345" customFormat="1" x14ac:dyDescent="0.2">
      <c r="A141" s="348"/>
      <c r="B141" s="348"/>
      <c r="C141" s="397"/>
      <c r="D141" s="397"/>
      <c r="E141" s="397"/>
      <c r="F141" s="397"/>
      <c r="H141" s="384"/>
      <c r="J141" s="348"/>
      <c r="K141" s="348"/>
      <c r="L141" s="348"/>
      <c r="N141" s="348"/>
      <c r="O141" s="347"/>
      <c r="P141" s="396"/>
      <c r="Q141" s="349"/>
      <c r="R141" s="349"/>
      <c r="S141" s="349"/>
      <c r="T141" s="348"/>
      <c r="U141" s="348"/>
      <c r="V141" s="348"/>
    </row>
    <row r="142" spans="1:22" s="345" customFormat="1" x14ac:dyDescent="0.2">
      <c r="A142" s="348"/>
      <c r="B142" s="348"/>
      <c r="C142" s="397"/>
      <c r="D142" s="397"/>
      <c r="E142" s="397"/>
      <c r="F142" s="397"/>
      <c r="H142" s="384"/>
      <c r="J142" s="348"/>
      <c r="K142" s="348"/>
      <c r="L142" s="348"/>
      <c r="N142" s="348"/>
      <c r="O142" s="347"/>
      <c r="P142" s="396"/>
      <c r="Q142" s="349"/>
      <c r="R142" s="349"/>
      <c r="S142" s="349"/>
      <c r="T142" s="348"/>
      <c r="U142" s="348"/>
      <c r="V142" s="348"/>
    </row>
    <row r="143" spans="1:22" s="345" customFormat="1" x14ac:dyDescent="0.2">
      <c r="A143" s="348"/>
      <c r="B143" s="348"/>
      <c r="C143" s="397"/>
      <c r="D143" s="397"/>
      <c r="E143" s="397"/>
      <c r="F143" s="397"/>
      <c r="H143" s="384"/>
      <c r="J143" s="348"/>
      <c r="K143" s="348"/>
      <c r="L143" s="348"/>
      <c r="N143" s="348"/>
      <c r="O143" s="347"/>
      <c r="P143" s="396"/>
      <c r="Q143" s="349"/>
      <c r="R143" s="349"/>
      <c r="S143" s="349"/>
      <c r="T143" s="348"/>
      <c r="U143" s="348"/>
      <c r="V143" s="348"/>
    </row>
    <row r="144" spans="1:22" s="345" customFormat="1" x14ac:dyDescent="0.2">
      <c r="A144" s="348"/>
      <c r="B144" s="348"/>
      <c r="C144" s="397"/>
      <c r="D144" s="397"/>
      <c r="E144" s="397"/>
      <c r="F144" s="397"/>
      <c r="H144" s="384"/>
      <c r="J144" s="348"/>
      <c r="K144" s="348"/>
      <c r="L144" s="348"/>
      <c r="N144" s="348"/>
      <c r="O144" s="347"/>
      <c r="P144" s="396"/>
      <c r="Q144" s="349"/>
      <c r="R144" s="349"/>
      <c r="S144" s="349"/>
      <c r="T144" s="348"/>
      <c r="U144" s="348"/>
      <c r="V144" s="348"/>
    </row>
    <row r="145" spans="1:22" s="345" customFormat="1" x14ac:dyDescent="0.2">
      <c r="A145" s="348"/>
      <c r="B145" s="348"/>
      <c r="C145" s="397"/>
      <c r="D145" s="397"/>
      <c r="E145" s="397"/>
      <c r="F145" s="397"/>
      <c r="H145" s="384"/>
      <c r="J145" s="348"/>
      <c r="K145" s="348"/>
      <c r="L145" s="348"/>
      <c r="N145" s="348"/>
      <c r="O145" s="347"/>
      <c r="P145" s="396"/>
      <c r="Q145" s="349"/>
      <c r="R145" s="349"/>
      <c r="S145" s="349"/>
      <c r="T145" s="348"/>
      <c r="U145" s="348"/>
      <c r="V145" s="348"/>
    </row>
    <row r="146" spans="1:22" s="345" customFormat="1" x14ac:dyDescent="0.2">
      <c r="A146" s="348"/>
      <c r="B146" s="348"/>
      <c r="C146" s="397"/>
      <c r="D146" s="397"/>
      <c r="E146" s="397"/>
      <c r="F146" s="397"/>
      <c r="H146" s="384"/>
      <c r="K146" s="348"/>
      <c r="L146" s="348"/>
      <c r="N146" s="348"/>
      <c r="O146" s="347"/>
      <c r="P146" s="396"/>
      <c r="Q146" s="349"/>
      <c r="R146" s="349"/>
      <c r="S146" s="349"/>
      <c r="T146" s="348"/>
      <c r="U146" s="348"/>
      <c r="V146" s="348"/>
    </row>
    <row r="147" spans="1:22" s="345" customFormat="1" x14ac:dyDescent="0.2">
      <c r="A147" s="348"/>
      <c r="B147" s="348"/>
      <c r="C147" s="397"/>
      <c r="D147" s="397"/>
      <c r="E147" s="397"/>
      <c r="F147" s="397"/>
      <c r="H147" s="384"/>
      <c r="K147" s="348"/>
      <c r="L147" s="348"/>
      <c r="N147" s="348"/>
      <c r="O147" s="347"/>
      <c r="P147" s="396"/>
      <c r="Q147" s="349"/>
      <c r="R147" s="349"/>
      <c r="S147" s="349"/>
      <c r="T147" s="348"/>
      <c r="U147" s="348"/>
      <c r="V147" s="348"/>
    </row>
    <row r="148" spans="1:22" x14ac:dyDescent="0.2">
      <c r="K148" s="348"/>
      <c r="L148" s="348"/>
      <c r="M148" s="345"/>
    </row>
    <row r="149" spans="1:22" x14ac:dyDescent="0.2">
      <c r="L149" s="348"/>
      <c r="M149" s="345"/>
    </row>
    <row r="150" spans="1:22" x14ac:dyDescent="0.2">
      <c r="L150" s="348"/>
      <c r="M150" s="345"/>
    </row>
    <row r="151" spans="1:22" x14ac:dyDescent="0.2">
      <c r="L151" s="348"/>
    </row>
    <row r="152" spans="1:22" x14ac:dyDescent="0.2">
      <c r="L152" s="348"/>
    </row>
    <row r="153" spans="1:22" x14ac:dyDescent="0.2">
      <c r="L153" s="348"/>
    </row>
  </sheetData>
  <conditionalFormatting sqref="P6:P11 Z6:Z11">
    <cfRule type="aboveAverage" dxfId="9" priority="3" aboveAverage="0" stdDev="1"/>
    <cfRule type="aboveAverage" dxfId="8" priority="4" stdDev="1"/>
  </conditionalFormatting>
  <conditionalFormatting sqref="P45:P58 Z45:Z58 B21:B44">
    <cfRule type="aboveAverage" dxfId="7" priority="5" aboveAverage="0" stdDev="1"/>
    <cfRule type="aboveAverage" dxfId="6" priority="6" stdDev="1"/>
  </conditionalFormatting>
  <conditionalFormatting sqref="C36">
    <cfRule type="aboveAverage" dxfId="5" priority="1" aboveAverage="0" stdDev="1"/>
    <cfRule type="aboveAverage" dxfId="4" priority="2" stdDev="1"/>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B05AF-8FD2-43F4-A5EC-1DD323CD8FAF}">
  <dimension ref="A1:AE153"/>
  <sheetViews>
    <sheetView workbookViewId="0">
      <selection activeCell="C35" sqref="C35"/>
    </sheetView>
  </sheetViews>
  <sheetFormatPr defaultColWidth="7.85546875" defaultRowHeight="11.25" x14ac:dyDescent="0.2"/>
  <cols>
    <col min="1" max="1" width="15.7109375" style="348" bestFit="1" customWidth="1"/>
    <col min="2" max="2" width="9.5703125" style="348" bestFit="1" customWidth="1"/>
    <col min="3" max="3" width="5.140625" style="397" customWidth="1"/>
    <col min="4" max="6" width="7.7109375" style="397" customWidth="1"/>
    <col min="7" max="7" width="6.28515625" style="397" customWidth="1"/>
    <col min="8" max="8" width="6.85546875" style="397" customWidth="1"/>
    <col min="9" max="9" width="9.7109375" style="397" customWidth="1"/>
    <col min="10" max="10" width="8.7109375" style="397" bestFit="1" customWidth="1"/>
    <col min="11" max="11" width="12.28515625" style="397" customWidth="1"/>
    <col min="12" max="12" width="17.28515625" style="345" bestFit="1" customWidth="1"/>
    <col min="13" max="13" width="12.85546875" style="384" customWidth="1"/>
    <col min="14" max="14" width="10.7109375" style="345" customWidth="1"/>
    <col min="15" max="15" width="8.5703125" style="345" customWidth="1"/>
    <col min="16" max="16" width="13.5703125" style="353" customWidth="1"/>
    <col min="17" max="17" width="7" style="386" customWidth="1"/>
    <col min="18" max="18" width="10.28515625" style="348" customWidth="1"/>
    <col min="19" max="19" width="5.7109375" style="348" bestFit="1" customWidth="1"/>
    <col min="20" max="20" width="16.5703125" style="347" customWidth="1"/>
    <col min="21" max="21" width="5.85546875" style="396" bestFit="1" customWidth="1"/>
    <col min="22" max="22" width="14" style="349" bestFit="1" customWidth="1"/>
    <col min="23" max="23" width="6" style="349" bestFit="1" customWidth="1"/>
    <col min="24" max="24" width="8.7109375" style="349" bestFit="1" customWidth="1"/>
    <col min="25" max="26" width="17.28515625" style="348" bestFit="1" customWidth="1"/>
    <col min="27" max="27" width="9.28515625" style="348" bestFit="1" customWidth="1"/>
    <col min="28" max="32" width="5.28515625" style="348" customWidth="1"/>
    <col min="33" max="33" width="17" style="348" customWidth="1"/>
    <col min="34" max="16384" width="7.85546875" style="348"/>
  </cols>
  <sheetData>
    <row r="1" spans="1:29" s="322" customFormat="1" ht="12.75" x14ac:dyDescent="0.2">
      <c r="A1" s="314" t="s">
        <v>91</v>
      </c>
      <c r="B1" s="315" t="s">
        <v>92</v>
      </c>
      <c r="C1" s="316"/>
      <c r="D1" s="315"/>
      <c r="E1" s="317"/>
      <c r="F1" s="317"/>
      <c r="G1" s="317"/>
      <c r="H1" s="704" t="s">
        <v>151</v>
      </c>
      <c r="I1" s="320">
        <f>(F21-F16)/100</f>
        <v>0.9</v>
      </c>
      <c r="J1" s="321" t="s">
        <v>94</v>
      </c>
      <c r="K1" s="315"/>
      <c r="L1" s="318"/>
      <c r="Q1" s="315"/>
      <c r="S1" s="323"/>
      <c r="U1" s="324"/>
      <c r="V1" s="324"/>
      <c r="W1" s="324"/>
      <c r="X1" s="324"/>
    </row>
    <row r="2" spans="1:29" s="322" customFormat="1" ht="12.75" x14ac:dyDescent="0.2">
      <c r="A2" s="325" t="s">
        <v>95</v>
      </c>
      <c r="B2" s="315" t="s">
        <v>96</v>
      </c>
      <c r="C2" s="326"/>
      <c r="D2" s="315"/>
      <c r="E2" s="327"/>
      <c r="F2" s="327"/>
      <c r="G2" s="327"/>
      <c r="H2" s="705" t="s">
        <v>97</v>
      </c>
      <c r="I2" s="330">
        <f>M14/100</f>
        <v>2.2200000000000002</v>
      </c>
      <c r="J2" s="331" t="s">
        <v>98</v>
      </c>
      <c r="K2" s="315"/>
      <c r="L2" s="328"/>
      <c r="Q2" s="315"/>
      <c r="S2" s="332"/>
      <c r="U2" s="324"/>
      <c r="V2" s="324"/>
      <c r="W2" s="324"/>
      <c r="X2" s="324"/>
    </row>
    <row r="3" spans="1:29" s="335" customFormat="1" ht="11.25" customHeight="1" x14ac:dyDescent="0.2">
      <c r="A3" s="333" t="s">
        <v>99</v>
      </c>
      <c r="B3" s="334">
        <v>42270</v>
      </c>
      <c r="C3" s="326"/>
      <c r="D3" s="327"/>
      <c r="E3" s="327"/>
      <c r="F3" s="327"/>
      <c r="G3" s="327"/>
      <c r="H3" s="706" t="s">
        <v>100</v>
      </c>
      <c r="I3" s="330">
        <f>AVERAGE(M14:M19)/100</f>
        <v>2.2200000000000002</v>
      </c>
      <c r="J3" s="331"/>
      <c r="K3" s="315"/>
      <c r="L3" s="328"/>
      <c r="Q3" s="315"/>
      <c r="S3" s="336"/>
      <c r="U3" s="337"/>
      <c r="V3" s="337"/>
      <c r="W3" s="337"/>
      <c r="X3" s="337"/>
    </row>
    <row r="4" spans="1:29" s="322" customFormat="1" ht="12.75" x14ac:dyDescent="0.2">
      <c r="A4" s="333" t="s">
        <v>101</v>
      </c>
      <c r="B4" s="707" t="s">
        <v>129</v>
      </c>
      <c r="C4" s="326"/>
      <c r="D4" s="327"/>
      <c r="E4" s="327"/>
      <c r="F4" s="327"/>
      <c r="G4" s="327"/>
      <c r="H4" s="706" t="s">
        <v>103</v>
      </c>
      <c r="I4" s="330">
        <f>J21</f>
        <v>0.45422222222222225</v>
      </c>
      <c r="J4" s="331"/>
      <c r="K4" s="315"/>
      <c r="L4" s="328"/>
      <c r="Q4" s="315"/>
      <c r="R4" s="323"/>
      <c r="S4" s="323"/>
      <c r="U4" s="324"/>
      <c r="V4" s="324"/>
      <c r="W4" s="324"/>
      <c r="X4" s="324"/>
    </row>
    <row r="5" spans="1:29" s="343" customFormat="1" ht="12.75" x14ac:dyDescent="0.2">
      <c r="A5" s="325" t="s">
        <v>104</v>
      </c>
      <c r="B5" s="339" t="s">
        <v>131</v>
      </c>
      <c r="C5" s="326"/>
      <c r="D5" s="327"/>
      <c r="E5" s="327"/>
      <c r="F5" s="327"/>
      <c r="G5" s="327"/>
      <c r="H5" s="327"/>
      <c r="I5" s="327"/>
      <c r="J5" s="327"/>
      <c r="K5" s="340"/>
      <c r="L5" s="340"/>
      <c r="M5" s="333"/>
      <c r="N5" s="341"/>
      <c r="O5" s="331"/>
      <c r="P5" s="315"/>
      <c r="Q5" s="315"/>
      <c r="R5" s="342"/>
      <c r="S5" s="342"/>
      <c r="U5" s="344"/>
      <c r="V5" s="344"/>
      <c r="W5" s="344"/>
      <c r="X5" s="344"/>
    </row>
    <row r="6" spans="1:29" x14ac:dyDescent="0.2">
      <c r="A6" s="345"/>
      <c r="B6" s="345"/>
      <c r="C6" s="345"/>
      <c r="D6" s="345"/>
      <c r="E6" s="346"/>
      <c r="F6" s="346"/>
      <c r="G6" s="346"/>
      <c r="H6" s="346"/>
      <c r="I6" s="346"/>
      <c r="J6" s="346"/>
      <c r="K6" s="342"/>
      <c r="L6" s="342"/>
      <c r="M6" s="347"/>
      <c r="N6" s="347"/>
      <c r="O6" s="348"/>
      <c r="P6" s="348"/>
      <c r="Q6" s="347"/>
      <c r="R6" s="347"/>
      <c r="T6" s="348"/>
      <c r="U6" s="349"/>
    </row>
    <row r="7" spans="1:29" x14ac:dyDescent="0.2">
      <c r="A7" s="345"/>
      <c r="B7" s="345"/>
      <c r="C7" s="345"/>
      <c r="D7" s="345"/>
      <c r="E7" s="346"/>
      <c r="F7" s="346"/>
      <c r="G7" s="346"/>
      <c r="H7" s="346"/>
      <c r="I7" s="346"/>
      <c r="J7" s="346"/>
      <c r="K7" s="350"/>
      <c r="L7" s="351"/>
      <c r="M7" s="347"/>
      <c r="N7" s="347"/>
      <c r="O7" s="348"/>
      <c r="P7" s="348"/>
      <c r="Q7" s="347"/>
      <c r="R7" s="347"/>
      <c r="T7" s="348"/>
      <c r="U7" s="349"/>
    </row>
    <row r="8" spans="1:29" ht="12" thickBot="1" x14ac:dyDescent="0.25">
      <c r="A8" s="394"/>
      <c r="B8" s="394"/>
      <c r="C8" s="394"/>
      <c r="D8" s="394"/>
      <c r="E8" s="394"/>
      <c r="F8" s="394"/>
      <c r="G8" s="394"/>
      <c r="H8" s="394"/>
      <c r="I8" s="394"/>
      <c r="J8" s="394"/>
      <c r="K8" s="394"/>
      <c r="L8" s="392"/>
      <c r="M8" s="392"/>
      <c r="N8" s="392"/>
      <c r="O8" s="392"/>
      <c r="P8" s="322" t="s">
        <v>107</v>
      </c>
      <c r="Q8" s="347"/>
      <c r="R8" s="347"/>
      <c r="T8" s="323" t="s">
        <v>108</v>
      </c>
      <c r="U8" s="349"/>
    </row>
    <row r="9" spans="1:29" x14ac:dyDescent="0.2">
      <c r="A9" s="403" t="s">
        <v>132</v>
      </c>
      <c r="B9" s="404"/>
      <c r="C9" s="405"/>
      <c r="D9" s="406"/>
      <c r="E9" s="407" t="s">
        <v>133</v>
      </c>
      <c r="F9" s="404"/>
      <c r="G9" s="408" t="s">
        <v>134</v>
      </c>
      <c r="H9" s="409"/>
      <c r="I9" s="410" t="s">
        <v>135</v>
      </c>
      <c r="J9" s="410"/>
      <c r="K9" s="411"/>
      <c r="L9" s="734" t="s">
        <v>136</v>
      </c>
      <c r="M9" s="735"/>
      <c r="N9" s="394"/>
      <c r="O9" s="394"/>
      <c r="P9" s="358"/>
      <c r="Q9" s="359"/>
      <c r="R9" s="360"/>
      <c r="U9" s="349"/>
      <c r="AB9" s="347"/>
      <c r="AC9" s="347"/>
    </row>
    <row r="10" spans="1:29" x14ac:dyDescent="0.2">
      <c r="A10" s="412"/>
      <c r="B10" s="413"/>
      <c r="C10" s="414"/>
      <c r="D10" s="415"/>
      <c r="E10" s="416"/>
      <c r="F10" s="415"/>
      <c r="G10" s="417"/>
      <c r="H10" s="418"/>
      <c r="I10" s="419"/>
      <c r="J10" s="419"/>
      <c r="K10" s="420"/>
      <c r="L10" s="421"/>
      <c r="M10" s="421"/>
      <c r="N10" s="394"/>
      <c r="O10" s="394"/>
      <c r="P10" s="366" t="s">
        <v>115</v>
      </c>
      <c r="Q10" s="332" t="s">
        <v>116</v>
      </c>
      <c r="R10" s="367" t="s">
        <v>117</v>
      </c>
      <c r="T10" s="322" t="s">
        <v>75</v>
      </c>
      <c r="U10" s="349"/>
      <c r="AB10" s="368"/>
    </row>
    <row r="11" spans="1:29" ht="12" thickBot="1" x14ac:dyDescent="0.25">
      <c r="A11" s="392"/>
      <c r="B11" s="392"/>
      <c r="C11" s="422"/>
      <c r="D11" s="423"/>
      <c r="E11" s="416" t="s">
        <v>137</v>
      </c>
      <c r="F11" s="415"/>
      <c r="G11" s="417"/>
      <c r="H11" s="418"/>
      <c r="I11" s="347"/>
      <c r="J11" s="347"/>
      <c r="K11" s="420"/>
      <c r="L11" s="364"/>
      <c r="M11" s="424"/>
      <c r="N11" s="394"/>
      <c r="O11" s="394"/>
      <c r="P11" s="377"/>
      <c r="Q11" s="378"/>
      <c r="R11" s="379" t="s">
        <v>121</v>
      </c>
      <c r="T11" s="348" t="s">
        <v>84</v>
      </c>
      <c r="U11" s="349"/>
      <c r="AB11" s="347"/>
    </row>
    <row r="12" spans="1:29" x14ac:dyDescent="0.2">
      <c r="A12" s="361" t="s">
        <v>138</v>
      </c>
      <c r="B12" s="350" t="s">
        <v>139</v>
      </c>
      <c r="C12" s="362" t="s">
        <v>140</v>
      </c>
      <c r="D12" s="365" t="s">
        <v>141</v>
      </c>
      <c r="E12" s="425" t="s">
        <v>142</v>
      </c>
      <c r="F12" s="365" t="s">
        <v>143</v>
      </c>
      <c r="G12" s="417" t="s">
        <v>18</v>
      </c>
      <c r="H12" s="418" t="s">
        <v>144</v>
      </c>
      <c r="I12" s="419" t="s">
        <v>144</v>
      </c>
      <c r="J12" s="419" t="s">
        <v>18</v>
      </c>
      <c r="K12" s="426" t="s">
        <v>145</v>
      </c>
      <c r="L12" s="364" t="s">
        <v>146</v>
      </c>
      <c r="M12" s="364" t="s">
        <v>114</v>
      </c>
      <c r="N12" s="394"/>
      <c r="O12" s="394"/>
      <c r="P12" s="348" t="s">
        <v>152</v>
      </c>
      <c r="Q12" s="348"/>
      <c r="R12" s="383"/>
      <c r="T12" s="349">
        <f>I1/I3</f>
        <v>0.40540540540540537</v>
      </c>
      <c r="U12" s="349"/>
    </row>
    <row r="13" spans="1:29" ht="12" thickBot="1" x14ac:dyDescent="0.25">
      <c r="A13" s="427" t="s">
        <v>147</v>
      </c>
      <c r="B13" s="428" t="s">
        <v>147</v>
      </c>
      <c r="C13" s="375" t="s">
        <v>148</v>
      </c>
      <c r="D13" s="374" t="s">
        <v>149</v>
      </c>
      <c r="E13" s="429" t="s">
        <v>148</v>
      </c>
      <c r="F13" s="374" t="s">
        <v>148</v>
      </c>
      <c r="G13" s="430" t="s">
        <v>150</v>
      </c>
      <c r="H13" s="431" t="s">
        <v>85</v>
      </c>
      <c r="I13" s="432" t="s">
        <v>85</v>
      </c>
      <c r="J13" s="432" t="s">
        <v>150</v>
      </c>
      <c r="K13" s="433"/>
      <c r="L13" s="434"/>
      <c r="M13" s="376" t="s">
        <v>148</v>
      </c>
      <c r="N13" s="394"/>
      <c r="O13" s="394"/>
      <c r="P13" s="348"/>
      <c r="Q13" s="348"/>
      <c r="T13" s="348"/>
      <c r="U13" s="349"/>
    </row>
    <row r="14" spans="1:29" ht="12.75" x14ac:dyDescent="0.2">
      <c r="A14" s="457">
        <v>43</v>
      </c>
      <c r="B14" s="458">
        <v>0</v>
      </c>
      <c r="C14" s="459">
        <v>10</v>
      </c>
      <c r="D14" s="460">
        <v>250</v>
      </c>
      <c r="E14" s="461">
        <v>0</v>
      </c>
      <c r="F14" s="462">
        <f>C14</f>
        <v>10</v>
      </c>
      <c r="G14" s="463">
        <f>(A14-B14)/D14</f>
        <v>0.17199999999999999</v>
      </c>
      <c r="H14" s="464">
        <f>(G14*(F14-E14))/100</f>
        <v>1.7199999999999997E-2</v>
      </c>
      <c r="I14" s="465">
        <f>SUM(H14)</f>
        <v>1.7199999999999997E-2</v>
      </c>
      <c r="J14" s="466">
        <f>I14/F14*100</f>
        <v>0.17199999999999999</v>
      </c>
      <c r="K14" s="467" t="s">
        <v>154</v>
      </c>
      <c r="L14" s="348" t="s">
        <v>130</v>
      </c>
      <c r="M14" s="348">
        <v>222</v>
      </c>
      <c r="N14" s="394"/>
      <c r="O14" s="394"/>
      <c r="P14" s="348"/>
      <c r="Q14" s="348"/>
      <c r="T14" s="348"/>
      <c r="U14" s="349"/>
    </row>
    <row r="15" spans="1:29" ht="12.75" x14ac:dyDescent="0.2">
      <c r="A15" s="457">
        <v>52</v>
      </c>
      <c r="B15" s="458">
        <v>0</v>
      </c>
      <c r="C15" s="459">
        <v>20</v>
      </c>
      <c r="D15" s="460">
        <v>250</v>
      </c>
      <c r="E15" s="461">
        <f>(C14+C15-10)/2</f>
        <v>10</v>
      </c>
      <c r="F15" s="462">
        <f t="shared" ref="F15:F21" si="0">C15</f>
        <v>20</v>
      </c>
      <c r="G15" s="463">
        <f t="shared" ref="G15:G21" si="1">(A15-B15)/D15</f>
        <v>0.20799999999999999</v>
      </c>
      <c r="H15" s="464">
        <f t="shared" ref="H15:H16" si="2">(G15*(F15-E15))/100</f>
        <v>2.0799999999999999E-2</v>
      </c>
      <c r="I15" s="465">
        <f>SUM($H$14:H15)</f>
        <v>3.7999999999999992E-2</v>
      </c>
      <c r="J15" s="466">
        <f t="shared" ref="J15:J16" si="3">I15/F15*100</f>
        <v>0.18999999999999995</v>
      </c>
      <c r="K15" s="467" t="s">
        <v>154</v>
      </c>
      <c r="L15" s="348"/>
      <c r="M15" s="445"/>
      <c r="N15" s="394"/>
      <c r="O15" s="394"/>
      <c r="P15" s="348" t="s">
        <v>98</v>
      </c>
      <c r="Q15" s="348"/>
      <c r="T15" s="348"/>
      <c r="U15" s="349"/>
    </row>
    <row r="16" spans="1:29" ht="25.5" x14ac:dyDescent="0.2">
      <c r="A16" s="457">
        <v>68</v>
      </c>
      <c r="B16" s="458">
        <v>0</v>
      </c>
      <c r="C16" s="459">
        <v>30</v>
      </c>
      <c r="D16" s="460">
        <v>250</v>
      </c>
      <c r="E16" s="461">
        <f t="shared" ref="E16:E17" si="4">(C15+C16-10)/2</f>
        <v>20</v>
      </c>
      <c r="F16" s="462">
        <f t="shared" si="0"/>
        <v>30</v>
      </c>
      <c r="G16" s="463">
        <f t="shared" si="1"/>
        <v>0.27200000000000002</v>
      </c>
      <c r="H16" s="464">
        <f t="shared" si="2"/>
        <v>2.7200000000000002E-2</v>
      </c>
      <c r="I16" s="465">
        <f>SUM($H$14:H16)</f>
        <v>6.5199999999999994E-2</v>
      </c>
      <c r="J16" s="466">
        <f t="shared" si="3"/>
        <v>0.21733333333333332</v>
      </c>
      <c r="K16" s="467" t="s">
        <v>153</v>
      </c>
      <c r="L16" s="348"/>
      <c r="M16" s="445"/>
      <c r="N16" s="394"/>
      <c r="O16" s="394"/>
      <c r="P16" s="348"/>
      <c r="Q16" s="348"/>
      <c r="T16" s="349"/>
      <c r="U16" s="349"/>
      <c r="X16" s="348"/>
    </row>
    <row r="17" spans="1:15" s="343" customFormat="1" ht="12.75" x14ac:dyDescent="0.2">
      <c r="A17" s="446">
        <v>110</v>
      </c>
      <c r="B17" s="435">
        <v>0</v>
      </c>
      <c r="C17" s="436">
        <v>40</v>
      </c>
      <c r="D17" s="460">
        <v>250</v>
      </c>
      <c r="E17" s="438">
        <f t="shared" si="4"/>
        <v>30</v>
      </c>
      <c r="F17" s="439">
        <f t="shared" si="0"/>
        <v>40</v>
      </c>
      <c r="G17" s="440">
        <f t="shared" si="1"/>
        <v>0.44</v>
      </c>
      <c r="H17" s="441">
        <f>(G17*(F17-E17))/100</f>
        <v>4.4000000000000004E-2</v>
      </c>
      <c r="I17" s="442">
        <f>SUM($H$17:H17)</f>
        <v>4.4000000000000004E-2</v>
      </c>
      <c r="J17" s="443">
        <f>I17/(F17-30)*100</f>
        <v>0.44</v>
      </c>
      <c r="K17" s="444" t="s">
        <v>155</v>
      </c>
      <c r="L17" s="348"/>
      <c r="M17" s="445"/>
      <c r="N17" s="348"/>
      <c r="O17" s="348"/>
    </row>
    <row r="18" spans="1:15" s="342" customFormat="1" ht="12.75" x14ac:dyDescent="0.2">
      <c r="A18" s="446">
        <v>115</v>
      </c>
      <c r="B18" s="435">
        <v>0</v>
      </c>
      <c r="C18" s="436">
        <v>60</v>
      </c>
      <c r="D18" s="460">
        <v>250</v>
      </c>
      <c r="E18" s="438">
        <f>C17</f>
        <v>40</v>
      </c>
      <c r="F18" s="439">
        <f t="shared" si="0"/>
        <v>60</v>
      </c>
      <c r="G18" s="440">
        <f t="shared" si="1"/>
        <v>0.46</v>
      </c>
      <c r="H18" s="441">
        <f>(G18*(F18-E18))/100</f>
        <v>9.2000000000000012E-2</v>
      </c>
      <c r="I18" s="442">
        <f>SUM($H$17:H18)</f>
        <v>0.13600000000000001</v>
      </c>
      <c r="J18" s="443">
        <f t="shared" ref="J18:J19" si="5">I18/(F18-30)*100</f>
        <v>0.45333333333333337</v>
      </c>
      <c r="K18" s="444" t="s">
        <v>155</v>
      </c>
      <c r="L18" s="348"/>
      <c r="M18" s="445"/>
      <c r="N18" s="348"/>
      <c r="O18" s="348"/>
    </row>
    <row r="19" spans="1:15" s="343" customFormat="1" ht="13.35" customHeight="1" x14ac:dyDescent="0.2">
      <c r="A19" s="446">
        <v>112</v>
      </c>
      <c r="B19" s="435">
        <v>0</v>
      </c>
      <c r="C19" s="436">
        <v>80</v>
      </c>
      <c r="D19" s="460">
        <v>250</v>
      </c>
      <c r="E19" s="438">
        <f>C18</f>
        <v>60</v>
      </c>
      <c r="F19" s="439">
        <f>C19</f>
        <v>80</v>
      </c>
      <c r="G19" s="440">
        <f>(A19-B19)/D19</f>
        <v>0.44800000000000001</v>
      </c>
      <c r="H19" s="441">
        <f>(G19*(F19-E19))/100</f>
        <v>8.9600000000000013E-2</v>
      </c>
      <c r="I19" s="442">
        <f>SUM($H$17:H19)</f>
        <v>0.22560000000000002</v>
      </c>
      <c r="J19" s="443">
        <f t="shared" si="5"/>
        <v>0.45120000000000005</v>
      </c>
      <c r="K19" s="444" t="s">
        <v>155</v>
      </c>
      <c r="L19" s="348"/>
      <c r="M19" s="445"/>
      <c r="N19" s="348"/>
      <c r="O19" s="348"/>
    </row>
    <row r="20" spans="1:15" s="389" customFormat="1" ht="12.75" x14ac:dyDescent="0.2">
      <c r="A20" s="446">
        <v>114</v>
      </c>
      <c r="B20" s="435">
        <v>0</v>
      </c>
      <c r="C20" s="436">
        <v>100</v>
      </c>
      <c r="D20" s="460">
        <v>250</v>
      </c>
      <c r="E20" s="438">
        <f>C19</f>
        <v>80</v>
      </c>
      <c r="F20" s="439">
        <f t="shared" si="0"/>
        <v>100</v>
      </c>
      <c r="G20" s="440">
        <f t="shared" si="1"/>
        <v>0.45600000000000002</v>
      </c>
      <c r="H20" s="441">
        <f t="shared" ref="H20" si="6">(G20*(F20-E20))/100</f>
        <v>9.1200000000000003E-2</v>
      </c>
      <c r="I20" s="442">
        <f>SUM($H$17:H20)</f>
        <v>0.31680000000000003</v>
      </c>
      <c r="J20" s="443">
        <f>I20/(F20-30)*100</f>
        <v>0.45257142857142857</v>
      </c>
      <c r="K20" s="444" t="s">
        <v>155</v>
      </c>
      <c r="L20" s="447"/>
      <c r="M20" s="447"/>
      <c r="N20" s="348"/>
      <c r="O20" s="348"/>
    </row>
    <row r="21" spans="1:15" s="392" customFormat="1" ht="12.75" x14ac:dyDescent="0.2">
      <c r="A21" s="446">
        <v>115</v>
      </c>
      <c r="B21" s="435">
        <v>0</v>
      </c>
      <c r="C21" s="436">
        <v>120</v>
      </c>
      <c r="D21" s="460">
        <v>250</v>
      </c>
      <c r="E21" s="438">
        <f>C20</f>
        <v>100</v>
      </c>
      <c r="F21" s="439">
        <f t="shared" si="0"/>
        <v>120</v>
      </c>
      <c r="G21" s="440">
        <f t="shared" si="1"/>
        <v>0.46</v>
      </c>
      <c r="H21" s="441">
        <f>(G21*(F21-E21))/100</f>
        <v>9.2000000000000012E-2</v>
      </c>
      <c r="I21" s="442">
        <f>SUM($H$17:H21)</f>
        <v>0.40880000000000005</v>
      </c>
      <c r="J21" s="443">
        <f>I21/(F21-30)*100</f>
        <v>0.45422222222222225</v>
      </c>
      <c r="K21" s="444" t="s">
        <v>155</v>
      </c>
      <c r="L21" s="448"/>
      <c r="M21" s="448"/>
      <c r="N21" s="348"/>
      <c r="O21" s="348"/>
    </row>
    <row r="22" spans="1:15" s="392" customFormat="1" x14ac:dyDescent="0.2">
      <c r="A22" s="446"/>
      <c r="B22" s="435"/>
      <c r="C22" s="436"/>
      <c r="D22" s="437"/>
      <c r="E22" s="438"/>
      <c r="F22" s="439"/>
      <c r="G22" s="440"/>
      <c r="H22" s="441"/>
      <c r="I22" s="442"/>
      <c r="J22" s="443"/>
      <c r="K22" s="444"/>
      <c r="L22" s="449"/>
      <c r="M22" s="449"/>
      <c r="N22" s="348"/>
      <c r="O22" s="348"/>
    </row>
    <row r="23" spans="1:15" s="392" customFormat="1" x14ac:dyDescent="0.2">
      <c r="A23" s="446"/>
      <c r="B23" s="435"/>
      <c r="C23" s="436"/>
      <c r="D23" s="437"/>
      <c r="E23" s="438"/>
      <c r="F23" s="439"/>
      <c r="G23" s="440"/>
      <c r="H23" s="441"/>
      <c r="I23" s="442"/>
      <c r="J23" s="443"/>
      <c r="K23" s="450"/>
      <c r="N23" s="348"/>
      <c r="O23" s="348"/>
    </row>
    <row r="24" spans="1:15" s="392" customFormat="1" x14ac:dyDescent="0.2">
      <c r="A24" s="446"/>
      <c r="B24" s="435"/>
      <c r="C24" s="436"/>
      <c r="D24" s="437"/>
      <c r="E24" s="438"/>
      <c r="F24" s="439"/>
      <c r="G24" s="440"/>
      <c r="H24" s="441"/>
      <c r="I24" s="442"/>
      <c r="J24" s="443"/>
      <c r="K24" s="444"/>
      <c r="L24" s="451"/>
      <c r="M24" s="452"/>
      <c r="N24" s="348"/>
      <c r="O24" s="348"/>
    </row>
    <row r="25" spans="1:15" s="392" customFormat="1" x14ac:dyDescent="0.2">
      <c r="A25" s="446"/>
      <c r="B25" s="435"/>
      <c r="C25" s="436"/>
      <c r="D25" s="437"/>
      <c r="E25" s="438"/>
      <c r="F25" s="439"/>
      <c r="G25" s="440"/>
      <c r="H25" s="441"/>
      <c r="I25" s="442"/>
      <c r="J25" s="443"/>
      <c r="K25" s="453"/>
      <c r="L25" s="451"/>
      <c r="M25" s="454"/>
      <c r="N25" s="348"/>
      <c r="O25" s="348"/>
    </row>
    <row r="26" spans="1:15" s="394" customFormat="1" x14ac:dyDescent="0.2">
      <c r="A26" s="446"/>
      <c r="B26" s="435"/>
      <c r="C26" s="436"/>
      <c r="D26" s="437"/>
      <c r="E26" s="438"/>
      <c r="F26" s="439"/>
      <c r="G26" s="440"/>
      <c r="H26" s="441"/>
      <c r="I26" s="442"/>
      <c r="J26" s="443"/>
      <c r="K26" s="455"/>
      <c r="L26" s="451"/>
      <c r="M26" s="454"/>
      <c r="N26" s="348"/>
      <c r="O26" s="348"/>
    </row>
    <row r="27" spans="1:15" s="394" customFormat="1" x14ac:dyDescent="0.2">
      <c r="A27" s="446"/>
      <c r="B27" s="435"/>
      <c r="C27" s="436"/>
      <c r="D27" s="437"/>
      <c r="E27" s="438"/>
      <c r="F27" s="439"/>
      <c r="G27" s="440"/>
      <c r="H27" s="441"/>
      <c r="I27" s="442"/>
      <c r="J27" s="443"/>
      <c r="K27" s="455"/>
      <c r="L27" s="451"/>
      <c r="M27" s="454"/>
      <c r="N27" s="348"/>
      <c r="O27" s="348"/>
    </row>
    <row r="28" spans="1:15" s="394" customFormat="1" x14ac:dyDescent="0.2">
      <c r="A28" s="446"/>
      <c r="B28" s="435"/>
      <c r="C28" s="436"/>
      <c r="D28" s="437"/>
      <c r="E28" s="438"/>
      <c r="F28" s="439"/>
      <c r="G28" s="440"/>
      <c r="H28" s="441"/>
      <c r="I28" s="442"/>
      <c r="J28" s="443"/>
      <c r="K28" s="455"/>
      <c r="L28" s="451"/>
      <c r="M28" s="456"/>
      <c r="N28" s="347"/>
      <c r="O28" s="348"/>
    </row>
    <row r="29" spans="1:15" s="394" customFormat="1" x14ac:dyDescent="0.2">
      <c r="A29" s="446"/>
      <c r="B29" s="435"/>
      <c r="C29" s="436"/>
      <c r="D29" s="437"/>
      <c r="E29" s="438"/>
      <c r="F29" s="439"/>
      <c r="G29" s="440"/>
      <c r="H29" s="441"/>
      <c r="I29" s="442"/>
      <c r="J29" s="443"/>
      <c r="K29" s="455"/>
      <c r="L29" s="451"/>
      <c r="M29" s="456"/>
      <c r="N29" s="347"/>
      <c r="O29" s="348"/>
    </row>
    <row r="30" spans="1:15" s="394" customFormat="1" x14ac:dyDescent="0.2">
      <c r="A30" s="345"/>
      <c r="B30" s="345"/>
      <c r="C30" s="345"/>
      <c r="D30" s="345"/>
      <c r="E30" s="353"/>
      <c r="F30" s="353"/>
      <c r="G30" s="353"/>
      <c r="H30" s="353"/>
      <c r="I30" s="353"/>
      <c r="J30" s="353"/>
      <c r="K30" s="455"/>
      <c r="L30" s="451"/>
      <c r="M30" s="456"/>
      <c r="N30" s="347"/>
      <c r="O30" s="348"/>
    </row>
    <row r="31" spans="1:15" s="394" customFormat="1" x14ac:dyDescent="0.2">
      <c r="A31" s="345"/>
      <c r="B31" s="345"/>
      <c r="C31" s="345"/>
      <c r="D31" s="345"/>
      <c r="E31" s="353"/>
      <c r="F31" s="353"/>
      <c r="G31" s="353"/>
      <c r="H31" s="353"/>
      <c r="I31" s="353"/>
      <c r="J31" s="353"/>
      <c r="K31" s="386"/>
      <c r="L31" s="348"/>
      <c r="M31" s="348"/>
      <c r="N31" s="348"/>
      <c r="O31" s="395"/>
    </row>
    <row r="32" spans="1:15" s="394" customFormat="1" x14ac:dyDescent="0.2">
      <c r="A32" s="345"/>
      <c r="B32" s="345"/>
      <c r="C32" s="345"/>
      <c r="D32" s="345"/>
      <c r="E32" s="353"/>
      <c r="F32" s="353"/>
      <c r="G32" s="353"/>
      <c r="H32" s="353"/>
      <c r="I32" s="353"/>
      <c r="J32" s="353"/>
      <c r="K32" s="386"/>
      <c r="L32" s="348"/>
      <c r="M32" s="348"/>
      <c r="N32" s="348"/>
      <c r="O32" s="395"/>
    </row>
    <row r="33" spans="1:24" s="394" customFormat="1" x14ac:dyDescent="0.2">
      <c r="A33" s="345"/>
      <c r="B33" s="345"/>
      <c r="C33" s="345"/>
      <c r="D33" s="345"/>
      <c r="E33" s="353"/>
      <c r="F33" s="353"/>
      <c r="G33" s="353"/>
      <c r="H33" s="353"/>
      <c r="I33" s="353"/>
      <c r="J33" s="353"/>
      <c r="K33" s="386"/>
      <c r="L33" s="348"/>
      <c r="M33" s="348"/>
      <c r="N33" s="347"/>
      <c r="O33" s="348"/>
    </row>
    <row r="34" spans="1:24" x14ac:dyDescent="0.2">
      <c r="A34" s="345"/>
      <c r="B34" s="345"/>
      <c r="C34" s="345"/>
      <c r="D34" s="345"/>
      <c r="E34" s="353"/>
      <c r="F34" s="353"/>
      <c r="G34" s="353"/>
      <c r="H34" s="353"/>
      <c r="I34" s="353"/>
      <c r="J34" s="353"/>
      <c r="K34" s="386"/>
      <c r="L34" s="348"/>
      <c r="M34" s="348"/>
      <c r="N34" s="347"/>
      <c r="O34" s="348"/>
      <c r="P34" s="348"/>
      <c r="Q34" s="348"/>
      <c r="T34" s="348"/>
      <c r="U34" s="348"/>
      <c r="V34" s="348"/>
      <c r="W34" s="348"/>
      <c r="X34" s="348"/>
    </row>
    <row r="35" spans="1:24" x14ac:dyDescent="0.2">
      <c r="A35" s="345"/>
      <c r="B35" s="345"/>
      <c r="C35" s="345"/>
      <c r="D35" s="345"/>
      <c r="E35" s="353"/>
      <c r="F35" s="353"/>
      <c r="G35" s="353"/>
      <c r="H35" s="353"/>
      <c r="I35" s="353"/>
      <c r="J35" s="353"/>
      <c r="K35" s="386"/>
      <c r="L35" s="348"/>
      <c r="M35" s="348"/>
      <c r="N35" s="347"/>
      <c r="O35" s="348"/>
      <c r="P35" s="348"/>
      <c r="Q35" s="348"/>
      <c r="T35" s="348"/>
      <c r="U35" s="348"/>
      <c r="V35" s="348"/>
      <c r="W35" s="348"/>
      <c r="X35" s="348"/>
    </row>
    <row r="36" spans="1:24" x14ac:dyDescent="0.2">
      <c r="A36" s="345"/>
      <c r="B36" s="345"/>
      <c r="C36" s="345"/>
      <c r="D36" s="345"/>
      <c r="E36" s="353"/>
      <c r="F36" s="353"/>
      <c r="G36" s="353"/>
      <c r="H36" s="353"/>
      <c r="I36" s="353"/>
      <c r="J36" s="353"/>
      <c r="K36" s="386"/>
      <c r="L36" s="348"/>
      <c r="M36" s="348"/>
      <c r="N36" s="347"/>
      <c r="O36" s="348"/>
      <c r="P36" s="348"/>
      <c r="Q36" s="348"/>
      <c r="T36" s="348"/>
      <c r="U36" s="348"/>
      <c r="V36" s="348"/>
      <c r="W36" s="348"/>
      <c r="X36" s="348"/>
    </row>
    <row r="37" spans="1:24" x14ac:dyDescent="0.2">
      <c r="A37" s="345"/>
      <c r="B37" s="345"/>
      <c r="C37" s="345"/>
      <c r="D37" s="345"/>
      <c r="E37" s="353"/>
      <c r="F37" s="353"/>
      <c r="G37" s="353"/>
      <c r="H37" s="353"/>
      <c r="I37" s="353"/>
      <c r="J37" s="353"/>
      <c r="K37" s="386"/>
      <c r="L37" s="348"/>
      <c r="M37" s="348"/>
      <c r="N37" s="347"/>
      <c r="O37" s="348"/>
      <c r="P37" s="348"/>
      <c r="Q37" s="348"/>
      <c r="T37" s="348"/>
      <c r="U37" s="348"/>
      <c r="V37" s="348"/>
      <c r="W37" s="348"/>
      <c r="X37" s="348"/>
    </row>
    <row r="38" spans="1:24" x14ac:dyDescent="0.2">
      <c r="A38" s="345"/>
      <c r="B38" s="345"/>
      <c r="C38" s="345"/>
      <c r="D38" s="345"/>
      <c r="E38" s="353"/>
      <c r="F38" s="353"/>
      <c r="G38" s="353"/>
      <c r="H38" s="353"/>
      <c r="I38" s="353"/>
      <c r="J38" s="353"/>
      <c r="K38" s="386"/>
      <c r="L38" s="348"/>
      <c r="M38" s="348"/>
      <c r="N38" s="347"/>
      <c r="O38" s="348"/>
      <c r="P38" s="348"/>
      <c r="Q38" s="348"/>
      <c r="T38" s="348"/>
      <c r="U38" s="348"/>
      <c r="V38" s="348"/>
      <c r="W38" s="348"/>
      <c r="X38" s="348"/>
    </row>
    <row r="39" spans="1:24" x14ac:dyDescent="0.2">
      <c r="A39" s="345"/>
      <c r="B39" s="345"/>
      <c r="C39" s="345"/>
      <c r="D39" s="345"/>
      <c r="E39" s="353"/>
      <c r="F39" s="353"/>
      <c r="G39" s="353"/>
      <c r="H39" s="353"/>
      <c r="I39" s="353"/>
      <c r="J39" s="353"/>
      <c r="K39" s="386"/>
      <c r="L39" s="348"/>
      <c r="M39" s="348"/>
      <c r="N39" s="347"/>
      <c r="O39" s="348"/>
      <c r="P39" s="348"/>
      <c r="Q39" s="348"/>
      <c r="T39" s="348"/>
      <c r="U39" s="348"/>
      <c r="V39" s="348"/>
      <c r="W39" s="348"/>
      <c r="X39" s="348"/>
    </row>
    <row r="40" spans="1:24" x14ac:dyDescent="0.2">
      <c r="A40" s="345"/>
      <c r="B40" s="345"/>
      <c r="C40" s="345"/>
      <c r="D40" s="345"/>
      <c r="E40" s="353"/>
      <c r="F40" s="353"/>
      <c r="G40" s="353"/>
      <c r="H40" s="353"/>
      <c r="I40" s="353"/>
      <c r="J40" s="353"/>
      <c r="K40" s="386"/>
      <c r="L40" s="348"/>
      <c r="M40" s="348"/>
      <c r="N40" s="347"/>
      <c r="O40" s="348"/>
      <c r="P40" s="348"/>
      <c r="Q40" s="348"/>
      <c r="T40" s="348"/>
      <c r="U40" s="348"/>
      <c r="V40" s="348"/>
      <c r="W40" s="348"/>
      <c r="X40" s="348"/>
    </row>
    <row r="41" spans="1:24" x14ac:dyDescent="0.2">
      <c r="A41" s="345"/>
      <c r="B41" s="345"/>
      <c r="C41" s="345"/>
      <c r="D41" s="345"/>
      <c r="E41" s="353"/>
      <c r="F41" s="353"/>
      <c r="G41" s="353"/>
      <c r="H41" s="353"/>
      <c r="I41" s="353"/>
      <c r="J41" s="353"/>
      <c r="K41" s="386"/>
      <c r="L41" s="348"/>
      <c r="M41" s="348"/>
      <c r="N41" s="347"/>
      <c r="O41" s="348"/>
      <c r="P41" s="348"/>
      <c r="Q41" s="348"/>
      <c r="T41" s="348"/>
      <c r="U41" s="348"/>
      <c r="V41" s="348"/>
      <c r="W41" s="348"/>
      <c r="X41" s="348"/>
    </row>
    <row r="42" spans="1:24" x14ac:dyDescent="0.2">
      <c r="A42" s="345"/>
      <c r="B42" s="345"/>
      <c r="C42" s="345"/>
      <c r="D42" s="345"/>
      <c r="E42" s="353"/>
      <c r="F42" s="353"/>
      <c r="G42" s="353"/>
      <c r="H42" s="353"/>
      <c r="I42" s="353"/>
      <c r="J42" s="353"/>
      <c r="K42" s="386"/>
      <c r="L42" s="348"/>
      <c r="M42" s="348"/>
      <c r="N42" s="347"/>
      <c r="O42" s="348"/>
      <c r="P42" s="348"/>
      <c r="Q42" s="348"/>
      <c r="T42" s="348"/>
      <c r="U42" s="348"/>
      <c r="V42" s="348"/>
      <c r="W42" s="348"/>
      <c r="X42" s="348"/>
    </row>
    <row r="43" spans="1:24" x14ac:dyDescent="0.2">
      <c r="A43" s="345"/>
      <c r="B43" s="345"/>
      <c r="C43" s="345"/>
      <c r="D43" s="345"/>
      <c r="E43" s="353"/>
      <c r="F43" s="353"/>
      <c r="G43" s="353"/>
      <c r="H43" s="353"/>
      <c r="I43" s="353"/>
      <c r="J43" s="353"/>
      <c r="K43" s="386"/>
      <c r="L43" s="348"/>
      <c r="M43" s="348"/>
      <c r="N43" s="347"/>
      <c r="O43" s="348"/>
      <c r="P43" s="348"/>
      <c r="Q43" s="348"/>
      <c r="T43" s="348"/>
      <c r="U43" s="348"/>
      <c r="V43" s="348"/>
      <c r="W43" s="348"/>
      <c r="X43" s="348"/>
    </row>
    <row r="44" spans="1:24" x14ac:dyDescent="0.2">
      <c r="A44" s="345"/>
      <c r="B44" s="345"/>
      <c r="C44" s="345"/>
      <c r="D44" s="345"/>
      <c r="E44" s="353"/>
      <c r="F44" s="353"/>
      <c r="G44" s="353"/>
      <c r="H44" s="353"/>
      <c r="I44" s="353"/>
      <c r="J44" s="353"/>
      <c r="K44" s="386"/>
      <c r="L44" s="348"/>
      <c r="M44" s="348"/>
      <c r="N44" s="347"/>
      <c r="O44" s="348"/>
      <c r="P44" s="348"/>
      <c r="Q44" s="348"/>
      <c r="T44" s="348"/>
      <c r="U44" s="348"/>
      <c r="V44" s="348"/>
      <c r="W44" s="348"/>
      <c r="X44" s="348"/>
    </row>
    <row r="45" spans="1:24" x14ac:dyDescent="0.2">
      <c r="A45" s="345"/>
      <c r="B45" s="345"/>
      <c r="C45" s="345"/>
      <c r="D45" s="345"/>
      <c r="E45" s="353"/>
      <c r="F45" s="353"/>
      <c r="G45" s="353"/>
      <c r="H45" s="353"/>
      <c r="I45" s="353"/>
      <c r="J45" s="353"/>
      <c r="K45" s="386"/>
      <c r="L45" s="348"/>
      <c r="M45" s="348"/>
      <c r="N45" s="347"/>
      <c r="O45" s="348"/>
      <c r="P45" s="348"/>
      <c r="Q45" s="347"/>
      <c r="R45" s="347"/>
      <c r="T45" s="348"/>
      <c r="U45" s="349"/>
    </row>
    <row r="46" spans="1:24" x14ac:dyDescent="0.2">
      <c r="A46" s="345"/>
      <c r="B46" s="345"/>
      <c r="C46" s="345"/>
      <c r="D46" s="345"/>
      <c r="E46" s="353"/>
      <c r="F46" s="353"/>
      <c r="G46" s="353"/>
      <c r="H46" s="353"/>
      <c r="I46" s="353"/>
      <c r="J46" s="353"/>
      <c r="K46" s="386"/>
      <c r="L46" s="348"/>
      <c r="M46" s="348"/>
      <c r="N46" s="347"/>
      <c r="O46" s="348"/>
      <c r="P46" s="348"/>
      <c r="Q46" s="347"/>
      <c r="R46" s="347"/>
      <c r="T46" s="348"/>
      <c r="U46" s="349"/>
    </row>
    <row r="47" spans="1:24" x14ac:dyDescent="0.2">
      <c r="A47" s="345"/>
      <c r="B47" s="345"/>
      <c r="C47" s="345"/>
      <c r="D47" s="345"/>
      <c r="E47" s="353"/>
      <c r="F47" s="353"/>
      <c r="G47" s="353"/>
      <c r="H47" s="353"/>
      <c r="I47" s="353"/>
      <c r="J47" s="353"/>
      <c r="K47" s="386"/>
      <c r="L47" s="348"/>
      <c r="M47" s="348"/>
      <c r="N47" s="347"/>
      <c r="O47" s="348"/>
      <c r="P47" s="348"/>
      <c r="Q47" s="347"/>
      <c r="R47" s="347"/>
      <c r="T47" s="348"/>
      <c r="U47" s="349"/>
    </row>
    <row r="48" spans="1:24" x14ac:dyDescent="0.2">
      <c r="A48" s="345"/>
      <c r="B48" s="345"/>
      <c r="C48" s="345"/>
      <c r="D48" s="345"/>
      <c r="E48" s="353"/>
      <c r="F48" s="353"/>
      <c r="G48" s="353"/>
      <c r="H48" s="353"/>
      <c r="I48" s="353"/>
      <c r="J48" s="353"/>
      <c r="K48" s="386"/>
      <c r="L48" s="348"/>
      <c r="M48" s="348"/>
      <c r="N48" s="347"/>
      <c r="O48" s="348"/>
      <c r="P48" s="348"/>
      <c r="Q48" s="347"/>
      <c r="R48" s="347"/>
      <c r="T48" s="348"/>
      <c r="U48" s="349"/>
    </row>
    <row r="49" spans="1:31" x14ac:dyDescent="0.2">
      <c r="A49" s="345"/>
      <c r="B49" s="345"/>
      <c r="C49" s="345"/>
      <c r="D49" s="345"/>
      <c r="E49" s="353"/>
      <c r="F49" s="353"/>
      <c r="G49" s="353"/>
      <c r="H49" s="353"/>
      <c r="I49" s="353"/>
      <c r="J49" s="353"/>
      <c r="K49" s="386"/>
      <c r="L49" s="348"/>
      <c r="M49" s="348"/>
      <c r="N49" s="347"/>
      <c r="O49" s="348"/>
      <c r="P49" s="348"/>
      <c r="Q49" s="347"/>
      <c r="R49" s="347"/>
      <c r="T49" s="348"/>
      <c r="U49" s="349"/>
    </row>
    <row r="50" spans="1:31" x14ac:dyDescent="0.2">
      <c r="A50" s="345"/>
      <c r="B50" s="345"/>
      <c r="C50" s="345"/>
      <c r="D50" s="345"/>
      <c r="E50" s="353"/>
      <c r="F50" s="353"/>
      <c r="G50" s="353"/>
      <c r="H50" s="353"/>
      <c r="I50" s="353"/>
      <c r="J50" s="353"/>
      <c r="K50" s="386"/>
      <c r="L50" s="348"/>
      <c r="M50" s="348"/>
      <c r="N50" s="347"/>
      <c r="O50" s="348"/>
      <c r="P50" s="348"/>
      <c r="Q50" s="347"/>
      <c r="R50" s="347"/>
      <c r="T50" s="348"/>
      <c r="U50" s="349"/>
    </row>
    <row r="51" spans="1:31" x14ac:dyDescent="0.2">
      <c r="A51" s="345"/>
      <c r="B51" s="345"/>
      <c r="C51" s="345"/>
      <c r="D51" s="345"/>
      <c r="E51" s="353"/>
      <c r="F51" s="353"/>
      <c r="G51" s="353"/>
      <c r="H51" s="353"/>
      <c r="I51" s="353"/>
      <c r="J51" s="353"/>
      <c r="K51" s="386"/>
      <c r="L51" s="349"/>
      <c r="M51" s="348"/>
      <c r="N51" s="347"/>
      <c r="O51" s="348"/>
      <c r="P51" s="348"/>
      <c r="Q51" s="347"/>
      <c r="R51" s="347"/>
      <c r="T51" s="348"/>
      <c r="U51" s="349"/>
    </row>
    <row r="52" spans="1:31" x14ac:dyDescent="0.2">
      <c r="A52" s="345"/>
      <c r="B52" s="345"/>
      <c r="C52" s="345"/>
      <c r="D52" s="345"/>
      <c r="E52" s="353"/>
      <c r="F52" s="353"/>
      <c r="G52" s="353"/>
      <c r="H52" s="353"/>
      <c r="I52" s="353"/>
      <c r="J52" s="353"/>
      <c r="K52" s="386"/>
      <c r="L52" s="349"/>
      <c r="M52" s="348"/>
      <c r="N52" s="347"/>
      <c r="O52" s="348"/>
      <c r="P52" s="348"/>
      <c r="Q52" s="347"/>
      <c r="R52" s="347"/>
      <c r="T52" s="348"/>
      <c r="U52" s="349"/>
    </row>
    <row r="53" spans="1:31" x14ac:dyDescent="0.2">
      <c r="A53" s="345"/>
      <c r="B53" s="345"/>
      <c r="C53" s="345"/>
      <c r="D53" s="345"/>
      <c r="E53" s="353"/>
      <c r="F53" s="353"/>
      <c r="G53" s="353"/>
      <c r="H53" s="353"/>
      <c r="I53" s="353"/>
      <c r="J53" s="353"/>
      <c r="K53" s="386"/>
      <c r="L53" s="349"/>
      <c r="M53" s="348"/>
      <c r="N53" s="347"/>
      <c r="O53" s="348"/>
      <c r="P53" s="348"/>
      <c r="Q53" s="347"/>
      <c r="R53" s="347"/>
      <c r="T53" s="348"/>
      <c r="U53" s="349"/>
    </row>
    <row r="54" spans="1:31" x14ac:dyDescent="0.2">
      <c r="A54" s="345"/>
      <c r="B54" s="345"/>
      <c r="C54" s="345"/>
      <c r="D54" s="345"/>
      <c r="E54" s="353"/>
      <c r="F54" s="353"/>
      <c r="G54" s="353"/>
      <c r="H54" s="353"/>
      <c r="I54" s="353"/>
      <c r="J54" s="353"/>
      <c r="K54" s="386"/>
      <c r="L54" s="349"/>
      <c r="M54" s="348"/>
      <c r="N54" s="347"/>
      <c r="O54" s="348"/>
      <c r="P54" s="348"/>
      <c r="Q54" s="347"/>
      <c r="R54" s="347"/>
      <c r="T54" s="348"/>
      <c r="U54" s="349"/>
    </row>
    <row r="55" spans="1:31" x14ac:dyDescent="0.2">
      <c r="A55" s="345"/>
      <c r="B55" s="345"/>
      <c r="C55" s="345"/>
      <c r="D55" s="345"/>
      <c r="E55" s="353"/>
      <c r="F55" s="353"/>
      <c r="G55" s="353"/>
      <c r="H55" s="353"/>
      <c r="I55" s="353"/>
      <c r="J55" s="353"/>
      <c r="K55" s="386"/>
      <c r="L55" s="348"/>
      <c r="M55" s="348"/>
      <c r="N55" s="347"/>
      <c r="O55" s="348"/>
      <c r="P55" s="348"/>
      <c r="Q55" s="347"/>
      <c r="T55" s="348"/>
      <c r="U55" s="349"/>
      <c r="AB55" s="347"/>
      <c r="AC55" s="347"/>
    </row>
    <row r="56" spans="1:31" x14ac:dyDescent="0.2">
      <c r="A56" s="345"/>
      <c r="B56" s="345"/>
      <c r="C56" s="345"/>
      <c r="D56" s="345"/>
      <c r="E56" s="353"/>
      <c r="F56" s="353"/>
      <c r="G56" s="353"/>
      <c r="H56" s="353"/>
      <c r="I56" s="353"/>
      <c r="J56" s="353"/>
      <c r="K56" s="386"/>
      <c r="L56" s="348"/>
      <c r="M56" s="348"/>
      <c r="N56" s="347"/>
      <c r="O56" s="348"/>
      <c r="P56" s="348"/>
      <c r="Q56" s="347"/>
      <c r="T56" s="348"/>
      <c r="U56" s="349"/>
      <c r="AB56" s="368"/>
      <c r="AC56" s="347"/>
      <c r="AD56" s="347"/>
      <c r="AE56" s="347"/>
    </row>
    <row r="57" spans="1:31" x14ac:dyDescent="0.2">
      <c r="A57" s="345"/>
      <c r="B57" s="345"/>
      <c r="C57" s="345"/>
      <c r="D57" s="345"/>
      <c r="E57" s="353"/>
      <c r="F57" s="353"/>
      <c r="G57" s="353"/>
      <c r="H57" s="353"/>
      <c r="I57" s="353"/>
      <c r="J57" s="353"/>
      <c r="K57" s="386"/>
      <c r="L57" s="348"/>
      <c r="M57" s="348"/>
      <c r="N57" s="347"/>
      <c r="O57" s="348"/>
      <c r="P57" s="348"/>
      <c r="Q57" s="348"/>
      <c r="T57" s="348"/>
      <c r="U57" s="349"/>
      <c r="AB57" s="368"/>
    </row>
    <row r="58" spans="1:31" x14ac:dyDescent="0.2">
      <c r="A58" s="345"/>
      <c r="B58" s="345"/>
      <c r="C58" s="345"/>
      <c r="D58" s="345"/>
      <c r="E58" s="353"/>
      <c r="F58" s="353"/>
      <c r="G58" s="353"/>
      <c r="H58" s="353"/>
      <c r="I58" s="353"/>
      <c r="J58" s="353"/>
      <c r="K58" s="386"/>
      <c r="L58" s="348"/>
      <c r="M58" s="348"/>
      <c r="N58" s="347"/>
      <c r="O58" s="348"/>
      <c r="P58" s="348"/>
      <c r="Q58" s="348"/>
      <c r="T58" s="348"/>
      <c r="U58" s="349"/>
      <c r="AB58" s="347"/>
    </row>
    <row r="59" spans="1:31" x14ac:dyDescent="0.2">
      <c r="A59" s="345"/>
      <c r="B59" s="345"/>
      <c r="C59" s="345"/>
      <c r="D59" s="345"/>
      <c r="E59" s="353"/>
      <c r="F59" s="353"/>
      <c r="G59" s="353"/>
      <c r="H59" s="353"/>
      <c r="I59" s="353"/>
      <c r="J59" s="353"/>
      <c r="K59" s="386"/>
      <c r="L59" s="348"/>
      <c r="M59" s="348"/>
      <c r="N59" s="347"/>
      <c r="O59" s="348"/>
      <c r="P59" s="348"/>
      <c r="Q59" s="348"/>
      <c r="T59" s="348"/>
      <c r="U59" s="349"/>
    </row>
    <row r="60" spans="1:31" x14ac:dyDescent="0.2">
      <c r="A60" s="345"/>
      <c r="B60" s="345"/>
      <c r="C60" s="345"/>
      <c r="D60" s="345"/>
      <c r="E60" s="353"/>
      <c r="F60" s="353"/>
      <c r="G60" s="353"/>
      <c r="H60" s="353"/>
      <c r="I60" s="353"/>
      <c r="J60" s="353"/>
      <c r="K60" s="386"/>
      <c r="L60" s="348"/>
      <c r="M60" s="348"/>
      <c r="N60" s="347"/>
      <c r="O60" s="348"/>
      <c r="P60" s="348"/>
      <c r="Q60" s="348"/>
      <c r="T60" s="348"/>
      <c r="U60" s="349"/>
    </row>
    <row r="61" spans="1:31" x14ac:dyDescent="0.2">
      <c r="A61" s="345"/>
      <c r="B61" s="345"/>
      <c r="C61" s="345"/>
      <c r="D61" s="345"/>
      <c r="E61" s="353"/>
      <c r="F61" s="353"/>
      <c r="G61" s="353"/>
      <c r="H61" s="353"/>
      <c r="I61" s="353"/>
      <c r="J61" s="353"/>
      <c r="K61" s="386"/>
      <c r="L61" s="348"/>
      <c r="M61" s="348"/>
      <c r="N61" s="347"/>
      <c r="O61" s="348"/>
      <c r="P61" s="348"/>
      <c r="Q61" s="348"/>
      <c r="T61" s="348"/>
      <c r="U61" s="349"/>
    </row>
    <row r="62" spans="1:31" x14ac:dyDescent="0.2">
      <c r="A62" s="345"/>
      <c r="B62" s="345"/>
      <c r="C62" s="345"/>
      <c r="D62" s="345"/>
      <c r="E62" s="353"/>
      <c r="F62" s="353"/>
      <c r="G62" s="353"/>
      <c r="H62" s="353"/>
      <c r="I62" s="353"/>
      <c r="J62" s="353"/>
      <c r="K62" s="386"/>
      <c r="L62" s="348"/>
      <c r="M62" s="348"/>
      <c r="N62" s="347"/>
      <c r="O62" s="348"/>
      <c r="P62" s="348"/>
      <c r="Q62" s="348"/>
      <c r="T62" s="348"/>
      <c r="U62" s="349"/>
    </row>
    <row r="63" spans="1:31" x14ac:dyDescent="0.2">
      <c r="A63" s="345"/>
      <c r="B63" s="345"/>
      <c r="C63" s="345"/>
      <c r="D63" s="345"/>
      <c r="E63" s="353"/>
      <c r="F63" s="353"/>
      <c r="G63" s="353"/>
      <c r="H63" s="353"/>
      <c r="I63" s="353"/>
      <c r="J63" s="353"/>
      <c r="K63" s="386"/>
      <c r="L63" s="348"/>
      <c r="M63" s="348"/>
      <c r="N63" s="347"/>
      <c r="O63" s="348"/>
      <c r="P63" s="348"/>
      <c r="Q63" s="348"/>
      <c r="T63" s="348"/>
      <c r="U63" s="349"/>
    </row>
    <row r="64" spans="1:31" x14ac:dyDescent="0.2">
      <c r="A64" s="345"/>
      <c r="B64" s="345"/>
      <c r="C64" s="345"/>
      <c r="D64" s="345"/>
      <c r="E64" s="353"/>
      <c r="F64" s="353"/>
      <c r="G64" s="353"/>
      <c r="H64" s="353"/>
      <c r="I64" s="353"/>
      <c r="J64" s="353"/>
      <c r="K64" s="386"/>
      <c r="L64" s="348"/>
      <c r="M64" s="348"/>
      <c r="N64" s="347"/>
      <c r="O64" s="348"/>
      <c r="P64" s="348"/>
      <c r="Q64" s="348"/>
      <c r="T64" s="348"/>
      <c r="U64" s="349"/>
    </row>
    <row r="65" spans="1:27" x14ac:dyDescent="0.2">
      <c r="A65" s="345"/>
      <c r="B65" s="345"/>
      <c r="C65" s="345"/>
      <c r="D65" s="345"/>
      <c r="E65" s="353"/>
      <c r="F65" s="353"/>
      <c r="G65" s="353"/>
      <c r="H65" s="353"/>
      <c r="I65" s="353"/>
      <c r="J65" s="353"/>
      <c r="K65" s="386"/>
      <c r="L65" s="348"/>
      <c r="M65" s="348"/>
      <c r="N65" s="347"/>
      <c r="O65" s="348"/>
      <c r="P65" s="348"/>
      <c r="Q65" s="348"/>
      <c r="T65" s="348"/>
      <c r="U65" s="349"/>
    </row>
    <row r="66" spans="1:27" x14ac:dyDescent="0.2">
      <c r="A66" s="345"/>
      <c r="B66" s="345"/>
      <c r="C66" s="345"/>
      <c r="D66" s="345"/>
      <c r="E66" s="353"/>
      <c r="F66" s="353"/>
      <c r="G66" s="353"/>
      <c r="H66" s="353"/>
      <c r="I66" s="353"/>
      <c r="J66" s="353"/>
      <c r="K66" s="386"/>
      <c r="L66" s="348"/>
      <c r="M66" s="348"/>
      <c r="N66" s="347"/>
      <c r="O66" s="348"/>
      <c r="P66" s="348"/>
      <c r="Q66" s="348"/>
      <c r="T66" s="348"/>
      <c r="U66" s="349"/>
    </row>
    <row r="67" spans="1:27" x14ac:dyDescent="0.2">
      <c r="A67" s="345"/>
      <c r="B67" s="345"/>
      <c r="C67" s="345"/>
      <c r="D67" s="345"/>
      <c r="E67" s="353"/>
      <c r="F67" s="353"/>
      <c r="G67" s="353"/>
      <c r="H67" s="353"/>
      <c r="I67" s="353"/>
      <c r="J67" s="353"/>
      <c r="K67" s="386"/>
      <c r="L67" s="348"/>
      <c r="M67" s="348"/>
      <c r="N67" s="347"/>
      <c r="O67" s="348"/>
      <c r="P67" s="348"/>
      <c r="Q67" s="348"/>
      <c r="T67" s="348"/>
      <c r="U67" s="349"/>
    </row>
    <row r="68" spans="1:27" x14ac:dyDescent="0.2">
      <c r="A68" s="345"/>
      <c r="B68" s="345"/>
      <c r="C68" s="345"/>
      <c r="D68" s="345"/>
      <c r="E68" s="353"/>
      <c r="F68" s="353"/>
      <c r="G68" s="353"/>
      <c r="H68" s="353"/>
      <c r="I68" s="353"/>
      <c r="J68" s="353"/>
      <c r="K68" s="386"/>
      <c r="L68" s="348"/>
      <c r="M68" s="348"/>
      <c r="N68" s="347"/>
      <c r="O68" s="348"/>
      <c r="P68" s="348"/>
      <c r="Q68" s="348"/>
      <c r="T68" s="348"/>
      <c r="U68" s="349"/>
    </row>
    <row r="69" spans="1:27" x14ac:dyDescent="0.2">
      <c r="A69" s="345"/>
      <c r="B69" s="345"/>
      <c r="C69" s="345"/>
      <c r="D69" s="345"/>
      <c r="E69" s="353"/>
      <c r="F69" s="353"/>
      <c r="G69" s="353"/>
      <c r="H69" s="353"/>
      <c r="I69" s="353"/>
      <c r="J69" s="353"/>
      <c r="K69" s="386"/>
      <c r="L69" s="348"/>
      <c r="M69" s="348"/>
      <c r="N69" s="347"/>
      <c r="O69" s="348"/>
      <c r="P69" s="348"/>
      <c r="Q69" s="348"/>
      <c r="T69" s="348"/>
      <c r="U69" s="349"/>
    </row>
    <row r="70" spans="1:27" x14ac:dyDescent="0.2">
      <c r="A70" s="345"/>
      <c r="B70" s="345"/>
      <c r="C70" s="345"/>
      <c r="D70" s="345"/>
      <c r="E70" s="353"/>
      <c r="F70" s="353"/>
      <c r="G70" s="353"/>
      <c r="H70" s="353"/>
      <c r="I70" s="353"/>
      <c r="J70" s="353"/>
      <c r="K70" s="386"/>
      <c r="L70" s="348"/>
      <c r="M70" s="348"/>
      <c r="N70" s="347"/>
      <c r="O70" s="348"/>
      <c r="P70" s="348"/>
      <c r="Q70" s="348"/>
      <c r="T70" s="348"/>
      <c r="U70" s="349"/>
    </row>
    <row r="71" spans="1:27" x14ac:dyDescent="0.2">
      <c r="A71" s="345"/>
      <c r="B71" s="345"/>
      <c r="C71" s="345"/>
      <c r="D71" s="345"/>
      <c r="E71" s="353"/>
      <c r="F71" s="353"/>
      <c r="G71" s="353"/>
      <c r="H71" s="353"/>
      <c r="I71" s="353"/>
      <c r="J71" s="353"/>
      <c r="K71" s="386"/>
      <c r="L71" s="348"/>
      <c r="M71" s="348"/>
      <c r="N71" s="347"/>
      <c r="O71" s="348"/>
      <c r="P71" s="348"/>
      <c r="Q71" s="348"/>
      <c r="T71" s="348"/>
      <c r="U71" s="349"/>
    </row>
    <row r="72" spans="1:27" x14ac:dyDescent="0.2">
      <c r="A72" s="345"/>
      <c r="B72" s="345"/>
      <c r="C72" s="345"/>
      <c r="D72" s="345"/>
      <c r="E72" s="353"/>
      <c r="F72" s="353"/>
      <c r="G72" s="353"/>
      <c r="H72" s="353"/>
      <c r="I72" s="353"/>
      <c r="J72" s="353"/>
      <c r="K72" s="386"/>
      <c r="L72" s="348"/>
      <c r="M72" s="348"/>
      <c r="N72" s="347"/>
      <c r="O72" s="348"/>
      <c r="P72" s="348"/>
      <c r="Q72" s="348"/>
      <c r="T72" s="348"/>
      <c r="U72" s="349"/>
    </row>
    <row r="73" spans="1:27" x14ac:dyDescent="0.2">
      <c r="A73" s="345"/>
      <c r="B73" s="345"/>
      <c r="C73" s="345"/>
      <c r="D73" s="345"/>
      <c r="E73" s="353"/>
      <c r="F73" s="353"/>
      <c r="G73" s="353"/>
      <c r="H73" s="353"/>
      <c r="I73" s="353"/>
      <c r="J73" s="353"/>
      <c r="K73" s="386"/>
      <c r="L73" s="348"/>
      <c r="M73" s="348"/>
      <c r="N73" s="347"/>
      <c r="O73" s="348"/>
      <c r="P73" s="348"/>
      <c r="Q73" s="348"/>
      <c r="T73" s="348"/>
      <c r="U73" s="349"/>
    </row>
    <row r="74" spans="1:27" x14ac:dyDescent="0.2">
      <c r="A74" s="345"/>
      <c r="B74" s="345"/>
      <c r="C74" s="345"/>
      <c r="D74" s="345"/>
      <c r="E74" s="353"/>
      <c r="F74" s="353"/>
      <c r="G74" s="353"/>
      <c r="H74" s="353"/>
      <c r="I74" s="353"/>
      <c r="J74" s="353"/>
      <c r="K74" s="386"/>
      <c r="L74" s="348"/>
      <c r="M74" s="348"/>
      <c r="N74" s="347"/>
      <c r="O74" s="348"/>
      <c r="P74" s="348"/>
      <c r="Q74" s="348"/>
      <c r="T74" s="348"/>
      <c r="U74" s="349"/>
      <c r="W74" s="384"/>
      <c r="X74" s="384"/>
      <c r="Y74" s="345"/>
      <c r="Z74" s="345"/>
      <c r="AA74" s="345"/>
    </row>
    <row r="75" spans="1:27" x14ac:dyDescent="0.2">
      <c r="A75" s="345"/>
      <c r="B75" s="345"/>
      <c r="C75" s="345"/>
      <c r="D75" s="345"/>
      <c r="E75" s="353"/>
      <c r="F75" s="353"/>
      <c r="G75" s="353"/>
      <c r="H75" s="353"/>
      <c r="I75" s="353"/>
      <c r="J75" s="353"/>
      <c r="K75" s="386"/>
      <c r="L75" s="348"/>
      <c r="M75" s="348"/>
      <c r="N75" s="347"/>
      <c r="O75" s="348"/>
      <c r="P75" s="348"/>
      <c r="Q75" s="348"/>
      <c r="T75" s="348"/>
      <c r="U75" s="349"/>
      <c r="W75" s="384"/>
      <c r="X75" s="384"/>
      <c r="Y75" s="345"/>
      <c r="Z75" s="345"/>
      <c r="AA75" s="345"/>
    </row>
    <row r="76" spans="1:27" x14ac:dyDescent="0.2">
      <c r="A76" s="345"/>
      <c r="B76" s="345"/>
      <c r="C76" s="345"/>
      <c r="D76" s="345"/>
      <c r="E76" s="353"/>
      <c r="F76" s="353"/>
      <c r="G76" s="353"/>
      <c r="H76" s="353"/>
      <c r="I76" s="353"/>
      <c r="J76" s="353"/>
      <c r="K76" s="386"/>
      <c r="L76" s="348"/>
      <c r="M76" s="348"/>
      <c r="N76" s="347"/>
      <c r="O76" s="348"/>
      <c r="P76" s="348"/>
      <c r="Q76" s="348"/>
      <c r="T76" s="348"/>
      <c r="U76" s="349"/>
      <c r="W76" s="384"/>
      <c r="X76" s="384"/>
      <c r="Y76" s="345"/>
      <c r="Z76" s="345"/>
      <c r="AA76" s="345"/>
    </row>
    <row r="77" spans="1:27" x14ac:dyDescent="0.2">
      <c r="A77" s="345"/>
      <c r="B77" s="345"/>
      <c r="C77" s="345"/>
      <c r="D77" s="345"/>
      <c r="E77" s="353"/>
      <c r="F77" s="353"/>
      <c r="G77" s="353"/>
      <c r="H77" s="353"/>
      <c r="I77" s="353"/>
      <c r="J77" s="353"/>
      <c r="K77" s="386"/>
      <c r="L77" s="348"/>
      <c r="M77" s="348"/>
      <c r="N77" s="347"/>
      <c r="O77" s="348"/>
      <c r="P77" s="348"/>
      <c r="Q77" s="348"/>
      <c r="T77" s="348"/>
      <c r="U77" s="349"/>
      <c r="W77" s="384"/>
      <c r="X77" s="384"/>
      <c r="Y77" s="345"/>
      <c r="Z77" s="345"/>
      <c r="AA77" s="345"/>
    </row>
    <row r="78" spans="1:27" x14ac:dyDescent="0.2">
      <c r="A78" s="345"/>
      <c r="B78" s="345"/>
      <c r="C78" s="345"/>
      <c r="D78" s="345"/>
      <c r="E78" s="353"/>
      <c r="F78" s="353"/>
      <c r="G78" s="353"/>
      <c r="H78" s="353"/>
      <c r="I78" s="353"/>
      <c r="J78" s="353"/>
      <c r="K78" s="386"/>
      <c r="L78" s="348"/>
      <c r="M78" s="348"/>
      <c r="N78" s="347"/>
      <c r="O78" s="348"/>
      <c r="P78" s="348"/>
      <c r="Q78" s="348"/>
      <c r="T78" s="348"/>
      <c r="U78" s="349"/>
      <c r="W78" s="384"/>
      <c r="X78" s="384"/>
      <c r="Y78" s="345"/>
      <c r="Z78" s="345"/>
      <c r="AA78" s="345"/>
    </row>
    <row r="79" spans="1:27" x14ac:dyDescent="0.2">
      <c r="A79" s="345"/>
      <c r="B79" s="345"/>
      <c r="C79" s="345"/>
      <c r="D79" s="345"/>
      <c r="E79" s="353"/>
      <c r="F79" s="353"/>
      <c r="G79" s="353"/>
      <c r="H79" s="353"/>
      <c r="I79" s="353"/>
      <c r="J79" s="353"/>
      <c r="K79" s="386"/>
      <c r="L79" s="348"/>
      <c r="M79" s="348"/>
      <c r="N79" s="347"/>
      <c r="O79" s="348"/>
      <c r="P79" s="348"/>
      <c r="Q79" s="348"/>
      <c r="S79" s="345"/>
      <c r="T79" s="345"/>
      <c r="U79" s="384"/>
      <c r="V79" s="384"/>
      <c r="W79" s="384"/>
      <c r="X79" s="384"/>
      <c r="Y79" s="345"/>
      <c r="Z79" s="345"/>
      <c r="AA79" s="345"/>
    </row>
    <row r="80" spans="1:27" x14ac:dyDescent="0.2">
      <c r="A80" s="345"/>
      <c r="B80" s="345"/>
      <c r="C80" s="345"/>
      <c r="D80" s="345"/>
      <c r="E80" s="353"/>
      <c r="F80" s="353"/>
      <c r="G80" s="353"/>
      <c r="H80" s="353"/>
      <c r="I80" s="353"/>
      <c r="J80" s="353"/>
      <c r="K80" s="386"/>
      <c r="L80" s="348"/>
      <c r="M80" s="348"/>
      <c r="N80" s="347"/>
      <c r="O80" s="348"/>
      <c r="P80" s="348"/>
      <c r="Q80" s="348"/>
      <c r="S80" s="345"/>
      <c r="T80" s="345"/>
      <c r="U80" s="384"/>
      <c r="V80" s="384"/>
      <c r="W80" s="384"/>
      <c r="X80" s="384"/>
      <c r="Y80" s="345"/>
      <c r="Z80" s="345"/>
      <c r="AA80" s="345"/>
    </row>
    <row r="81" spans="1:27" x14ac:dyDescent="0.2">
      <c r="A81" s="345"/>
      <c r="B81" s="345"/>
      <c r="C81" s="345"/>
      <c r="D81" s="345"/>
      <c r="E81" s="353"/>
      <c r="F81" s="353"/>
      <c r="G81" s="353"/>
      <c r="H81" s="353"/>
      <c r="I81" s="353"/>
      <c r="J81" s="353"/>
      <c r="K81" s="386"/>
      <c r="L81" s="348"/>
      <c r="M81" s="348"/>
      <c r="N81" s="347"/>
      <c r="O81" s="348"/>
      <c r="P81" s="348"/>
      <c r="Q81" s="348"/>
      <c r="S81" s="345"/>
      <c r="T81" s="345"/>
      <c r="U81" s="384"/>
      <c r="V81" s="384"/>
      <c r="W81" s="384"/>
      <c r="X81" s="384"/>
      <c r="Y81" s="345"/>
      <c r="Z81" s="345"/>
      <c r="AA81" s="345"/>
    </row>
    <row r="82" spans="1:27" x14ac:dyDescent="0.2">
      <c r="A82" s="345"/>
      <c r="B82" s="345"/>
      <c r="C82" s="345"/>
      <c r="D82" s="345"/>
      <c r="E82" s="353"/>
      <c r="F82" s="353"/>
      <c r="G82" s="353"/>
      <c r="H82" s="353"/>
      <c r="I82" s="353"/>
      <c r="J82" s="353"/>
      <c r="K82" s="386"/>
      <c r="L82" s="348"/>
      <c r="M82" s="348"/>
      <c r="N82" s="347"/>
      <c r="O82" s="348"/>
      <c r="P82" s="348"/>
      <c r="Q82" s="348"/>
      <c r="S82" s="345"/>
      <c r="T82" s="345"/>
      <c r="U82" s="384"/>
      <c r="V82" s="384"/>
      <c r="W82" s="384"/>
      <c r="X82" s="384"/>
      <c r="Y82" s="345"/>
      <c r="Z82" s="345"/>
      <c r="AA82" s="345"/>
    </row>
    <row r="83" spans="1:27" x14ac:dyDescent="0.2">
      <c r="A83" s="345"/>
      <c r="B83" s="345"/>
      <c r="C83" s="345"/>
      <c r="D83" s="345"/>
      <c r="E83" s="353"/>
      <c r="F83" s="353"/>
      <c r="G83" s="353"/>
      <c r="H83" s="353"/>
      <c r="I83" s="353"/>
      <c r="J83" s="353"/>
      <c r="K83" s="386"/>
      <c r="L83" s="348"/>
      <c r="M83" s="348"/>
      <c r="N83" s="347"/>
      <c r="O83" s="348"/>
      <c r="P83" s="348"/>
      <c r="Q83" s="348"/>
      <c r="S83" s="345"/>
      <c r="T83" s="345"/>
      <c r="U83" s="384"/>
      <c r="V83" s="384"/>
      <c r="W83" s="384"/>
      <c r="X83" s="384"/>
      <c r="Y83" s="345"/>
      <c r="Z83" s="345"/>
      <c r="AA83" s="345"/>
    </row>
    <row r="84" spans="1:27" x14ac:dyDescent="0.2">
      <c r="A84" s="345"/>
      <c r="B84" s="345"/>
      <c r="C84" s="345"/>
      <c r="D84" s="345"/>
      <c r="E84" s="353"/>
      <c r="F84" s="353"/>
      <c r="G84" s="353"/>
      <c r="H84" s="353"/>
      <c r="I84" s="353"/>
      <c r="J84" s="353"/>
      <c r="K84" s="386"/>
      <c r="L84" s="348"/>
      <c r="M84" s="348"/>
      <c r="N84" s="347"/>
      <c r="O84" s="348"/>
      <c r="P84" s="348"/>
      <c r="Q84" s="348"/>
      <c r="S84" s="345"/>
      <c r="T84" s="345"/>
      <c r="U84" s="384"/>
      <c r="V84" s="384"/>
      <c r="W84" s="384"/>
      <c r="X84" s="384"/>
      <c r="Y84" s="345"/>
      <c r="Z84" s="345"/>
      <c r="AA84" s="345"/>
    </row>
    <row r="85" spans="1:27" x14ac:dyDescent="0.2">
      <c r="A85" s="345"/>
      <c r="B85" s="345"/>
      <c r="C85" s="345"/>
      <c r="D85" s="345"/>
      <c r="E85" s="353"/>
      <c r="F85" s="353"/>
      <c r="G85" s="353"/>
      <c r="H85" s="353"/>
      <c r="I85" s="353"/>
      <c r="J85" s="353"/>
      <c r="K85" s="386"/>
      <c r="L85" s="348"/>
      <c r="M85" s="348"/>
      <c r="N85" s="347"/>
      <c r="O85" s="348"/>
      <c r="P85" s="348"/>
      <c r="Q85" s="348"/>
      <c r="S85" s="345"/>
      <c r="T85" s="345"/>
      <c r="U85" s="384"/>
      <c r="V85" s="384"/>
      <c r="W85" s="384"/>
      <c r="X85" s="384"/>
      <c r="Y85" s="345"/>
      <c r="Z85" s="345"/>
      <c r="AA85" s="345"/>
    </row>
    <row r="86" spans="1:27" x14ac:dyDescent="0.2">
      <c r="A86" s="345"/>
      <c r="B86" s="345"/>
      <c r="C86" s="345"/>
      <c r="D86" s="345"/>
      <c r="E86" s="353"/>
      <c r="F86" s="353"/>
      <c r="G86" s="353"/>
      <c r="H86" s="353"/>
      <c r="I86" s="353"/>
      <c r="J86" s="353"/>
      <c r="K86" s="386"/>
      <c r="L86" s="348"/>
      <c r="M86" s="348"/>
      <c r="N86" s="347"/>
      <c r="O86" s="348"/>
      <c r="P86" s="348"/>
      <c r="Q86" s="348"/>
      <c r="S86" s="345"/>
      <c r="T86" s="345"/>
      <c r="U86" s="384"/>
      <c r="V86" s="384"/>
      <c r="W86" s="384"/>
      <c r="X86" s="384"/>
      <c r="Y86" s="345"/>
      <c r="Z86" s="345"/>
      <c r="AA86" s="345"/>
    </row>
    <row r="87" spans="1:27" x14ac:dyDescent="0.2">
      <c r="A87" s="345"/>
      <c r="B87" s="345"/>
      <c r="C87" s="345"/>
      <c r="D87" s="345"/>
      <c r="E87" s="353"/>
      <c r="F87" s="353"/>
      <c r="G87" s="353"/>
      <c r="H87" s="353"/>
      <c r="I87" s="353"/>
      <c r="J87" s="353"/>
      <c r="K87" s="386"/>
      <c r="L87" s="348"/>
      <c r="M87" s="348"/>
      <c r="N87" s="347"/>
      <c r="O87" s="348"/>
      <c r="P87" s="348"/>
      <c r="Q87" s="348"/>
      <c r="S87" s="345"/>
      <c r="T87" s="345"/>
      <c r="U87" s="384"/>
      <c r="V87" s="384"/>
      <c r="W87" s="384"/>
      <c r="X87" s="384"/>
      <c r="Y87" s="345"/>
      <c r="Z87" s="345"/>
      <c r="AA87" s="345"/>
    </row>
    <row r="88" spans="1:27" x14ac:dyDescent="0.2">
      <c r="A88" s="345"/>
      <c r="B88" s="345"/>
      <c r="C88" s="345"/>
      <c r="D88" s="345"/>
      <c r="E88" s="353"/>
      <c r="F88" s="353"/>
      <c r="G88" s="353"/>
      <c r="H88" s="353"/>
      <c r="I88" s="353"/>
      <c r="J88" s="353"/>
      <c r="K88" s="386"/>
      <c r="L88" s="348"/>
      <c r="M88" s="348"/>
      <c r="N88" s="347"/>
      <c r="O88" s="348"/>
      <c r="P88" s="348"/>
      <c r="Q88" s="348"/>
      <c r="S88" s="345"/>
      <c r="T88" s="345"/>
      <c r="U88" s="384"/>
      <c r="V88" s="384"/>
      <c r="W88" s="384"/>
      <c r="X88" s="384"/>
      <c r="Y88" s="345"/>
      <c r="Z88" s="345"/>
      <c r="AA88" s="345"/>
    </row>
    <row r="89" spans="1:27" x14ac:dyDescent="0.2">
      <c r="A89" s="345"/>
      <c r="B89" s="345"/>
      <c r="C89" s="345"/>
      <c r="D89" s="345"/>
      <c r="E89" s="353"/>
      <c r="F89" s="353"/>
      <c r="G89" s="353"/>
      <c r="H89" s="353"/>
      <c r="I89" s="353"/>
      <c r="J89" s="353"/>
      <c r="K89" s="386"/>
      <c r="L89" s="348"/>
      <c r="M89" s="348"/>
      <c r="N89" s="347"/>
      <c r="O89" s="348"/>
      <c r="P89" s="348"/>
      <c r="Q89" s="348"/>
      <c r="S89" s="345"/>
      <c r="T89" s="345"/>
      <c r="U89" s="384"/>
      <c r="V89" s="384"/>
      <c r="W89" s="384"/>
      <c r="X89" s="384"/>
      <c r="Y89" s="345"/>
      <c r="Z89" s="345"/>
      <c r="AA89" s="345"/>
    </row>
    <row r="90" spans="1:27" x14ac:dyDescent="0.2">
      <c r="A90" s="345"/>
      <c r="B90" s="345"/>
      <c r="C90" s="345"/>
      <c r="D90" s="345"/>
      <c r="E90" s="353"/>
      <c r="F90" s="353"/>
      <c r="G90" s="353"/>
      <c r="H90" s="353"/>
      <c r="I90" s="353"/>
      <c r="J90" s="353"/>
      <c r="K90" s="386"/>
      <c r="L90" s="348"/>
      <c r="M90" s="348"/>
      <c r="N90" s="347"/>
      <c r="O90" s="348"/>
      <c r="P90" s="348"/>
      <c r="Q90" s="348"/>
      <c r="S90" s="345"/>
      <c r="T90" s="345"/>
      <c r="U90" s="384"/>
      <c r="V90" s="384"/>
      <c r="W90" s="384"/>
      <c r="X90" s="384"/>
      <c r="Y90" s="345"/>
      <c r="Z90" s="345"/>
      <c r="AA90" s="345"/>
    </row>
    <row r="91" spans="1:27" s="345" customFormat="1" x14ac:dyDescent="0.2">
      <c r="E91" s="353"/>
      <c r="F91" s="353"/>
      <c r="G91" s="353"/>
      <c r="H91" s="353"/>
      <c r="I91" s="353"/>
      <c r="J91" s="353"/>
      <c r="K91" s="386"/>
      <c r="L91" s="348"/>
      <c r="M91" s="348"/>
      <c r="N91" s="347"/>
      <c r="O91" s="348"/>
      <c r="P91" s="348"/>
      <c r="Q91" s="348"/>
      <c r="R91" s="348"/>
      <c r="U91" s="384"/>
      <c r="V91" s="384"/>
      <c r="W91" s="384"/>
      <c r="X91" s="384"/>
    </row>
    <row r="92" spans="1:27" s="345" customFormat="1" x14ac:dyDescent="0.2">
      <c r="E92" s="353"/>
      <c r="F92" s="353"/>
      <c r="G92" s="353"/>
      <c r="H92" s="353"/>
      <c r="I92" s="353"/>
      <c r="J92" s="353"/>
      <c r="K92" s="386"/>
      <c r="L92" s="348"/>
      <c r="M92" s="348"/>
      <c r="N92" s="347"/>
      <c r="O92" s="348"/>
      <c r="P92" s="348"/>
      <c r="Q92" s="348"/>
      <c r="R92" s="348"/>
      <c r="U92" s="384"/>
      <c r="V92" s="384"/>
      <c r="W92" s="384"/>
      <c r="X92" s="384"/>
    </row>
    <row r="93" spans="1:27" s="345" customFormat="1" x14ac:dyDescent="0.2">
      <c r="E93" s="353"/>
      <c r="F93" s="353"/>
      <c r="G93" s="353"/>
      <c r="H93" s="353"/>
      <c r="I93" s="353"/>
      <c r="J93" s="353"/>
      <c r="K93" s="386"/>
      <c r="L93" s="348"/>
      <c r="M93" s="348"/>
      <c r="N93" s="347"/>
      <c r="O93" s="348"/>
      <c r="P93" s="348"/>
      <c r="Q93" s="348"/>
      <c r="R93" s="348"/>
      <c r="U93" s="384"/>
      <c r="V93" s="384"/>
      <c r="W93" s="384"/>
      <c r="X93" s="384"/>
    </row>
    <row r="94" spans="1:27" s="345" customFormat="1" x14ac:dyDescent="0.2">
      <c r="E94" s="353"/>
      <c r="F94" s="353"/>
      <c r="G94" s="353"/>
      <c r="H94" s="353"/>
      <c r="I94" s="353"/>
      <c r="J94" s="353"/>
      <c r="K94" s="386"/>
      <c r="L94" s="348"/>
      <c r="M94" s="348"/>
      <c r="N94" s="347"/>
      <c r="O94" s="348"/>
      <c r="P94" s="348"/>
      <c r="Q94" s="348"/>
      <c r="U94" s="384"/>
      <c r="V94" s="384"/>
      <c r="W94" s="384"/>
      <c r="X94" s="384"/>
    </row>
    <row r="95" spans="1:27" s="345" customFormat="1" x14ac:dyDescent="0.2">
      <c r="E95" s="353"/>
      <c r="F95" s="353"/>
      <c r="G95" s="353"/>
      <c r="H95" s="353"/>
      <c r="I95" s="353"/>
      <c r="J95" s="353"/>
      <c r="K95" s="386"/>
      <c r="L95" s="348"/>
      <c r="M95" s="348"/>
      <c r="N95" s="347"/>
      <c r="O95" s="348"/>
      <c r="P95" s="348"/>
      <c r="Q95" s="348"/>
      <c r="U95" s="384"/>
      <c r="V95" s="384"/>
      <c r="W95" s="384"/>
      <c r="X95" s="384"/>
    </row>
    <row r="96" spans="1:27" s="345" customFormat="1" x14ac:dyDescent="0.2">
      <c r="E96" s="353"/>
      <c r="F96" s="353"/>
      <c r="G96" s="353"/>
      <c r="H96" s="353"/>
      <c r="I96" s="353"/>
      <c r="J96" s="353"/>
      <c r="K96" s="386"/>
      <c r="L96" s="348"/>
      <c r="M96" s="348"/>
      <c r="N96" s="347"/>
      <c r="O96" s="348"/>
      <c r="P96" s="348"/>
      <c r="Q96" s="348"/>
      <c r="U96" s="384"/>
      <c r="V96" s="384"/>
      <c r="W96" s="384"/>
      <c r="X96" s="384"/>
    </row>
    <row r="97" spans="5:24" s="345" customFormat="1" x14ac:dyDescent="0.2">
      <c r="E97" s="353"/>
      <c r="F97" s="353"/>
      <c r="G97" s="353"/>
      <c r="H97" s="353"/>
      <c r="I97" s="353"/>
      <c r="J97" s="353"/>
      <c r="K97" s="386"/>
      <c r="L97" s="348"/>
      <c r="M97" s="348"/>
      <c r="N97" s="347"/>
      <c r="O97" s="348"/>
      <c r="P97" s="348"/>
      <c r="Q97" s="348"/>
      <c r="U97" s="384"/>
      <c r="V97" s="384"/>
      <c r="W97" s="384"/>
      <c r="X97" s="384"/>
    </row>
    <row r="98" spans="5:24" s="345" customFormat="1" x14ac:dyDescent="0.2">
      <c r="E98" s="353"/>
      <c r="F98" s="353"/>
      <c r="G98" s="353"/>
      <c r="H98" s="353"/>
      <c r="I98" s="353"/>
      <c r="J98" s="353"/>
      <c r="K98" s="386"/>
      <c r="L98" s="348"/>
      <c r="M98" s="348"/>
      <c r="N98" s="347"/>
      <c r="O98" s="348"/>
      <c r="P98" s="348"/>
      <c r="Q98" s="348"/>
      <c r="U98" s="384"/>
      <c r="V98" s="384"/>
      <c r="W98" s="384"/>
      <c r="X98" s="384"/>
    </row>
    <row r="99" spans="5:24" s="345" customFormat="1" x14ac:dyDescent="0.2">
      <c r="E99" s="353"/>
      <c r="F99" s="353"/>
      <c r="G99" s="353"/>
      <c r="H99" s="353"/>
      <c r="I99" s="353"/>
      <c r="J99" s="353"/>
      <c r="K99" s="386"/>
      <c r="L99" s="348"/>
      <c r="M99" s="348"/>
      <c r="N99" s="347"/>
      <c r="O99" s="348"/>
      <c r="P99" s="348"/>
      <c r="Q99" s="348"/>
      <c r="U99" s="384"/>
      <c r="V99" s="384"/>
      <c r="W99" s="384"/>
      <c r="X99" s="384"/>
    </row>
    <row r="100" spans="5:24" s="345" customFormat="1" x14ac:dyDescent="0.2">
      <c r="E100" s="353"/>
      <c r="F100" s="353"/>
      <c r="G100" s="353"/>
      <c r="H100" s="353"/>
      <c r="I100" s="353"/>
      <c r="J100" s="353"/>
      <c r="K100" s="386"/>
      <c r="L100" s="348"/>
      <c r="M100" s="348"/>
      <c r="N100" s="347"/>
      <c r="O100" s="348"/>
      <c r="P100" s="348"/>
      <c r="Q100" s="348"/>
      <c r="U100" s="384"/>
      <c r="V100" s="384"/>
      <c r="W100" s="384"/>
      <c r="X100" s="384"/>
    </row>
    <row r="101" spans="5:24" s="345" customFormat="1" x14ac:dyDescent="0.2">
      <c r="E101" s="353"/>
      <c r="F101" s="353"/>
      <c r="G101" s="353"/>
      <c r="H101" s="353"/>
      <c r="I101" s="353"/>
      <c r="J101" s="353"/>
      <c r="K101" s="386"/>
      <c r="L101" s="348"/>
      <c r="M101" s="348"/>
      <c r="N101" s="347"/>
      <c r="O101" s="348"/>
      <c r="P101" s="348"/>
      <c r="Q101" s="348"/>
      <c r="U101" s="384"/>
      <c r="V101" s="384"/>
      <c r="W101" s="384"/>
      <c r="X101" s="384"/>
    </row>
    <row r="102" spans="5:24" s="345" customFormat="1" x14ac:dyDescent="0.2">
      <c r="E102" s="353"/>
      <c r="F102" s="353"/>
      <c r="G102" s="353"/>
      <c r="H102" s="353"/>
      <c r="I102" s="353"/>
      <c r="J102" s="353"/>
      <c r="K102" s="386"/>
      <c r="L102" s="348"/>
      <c r="M102" s="348"/>
      <c r="N102" s="347"/>
      <c r="O102" s="348"/>
      <c r="P102" s="348"/>
      <c r="Q102" s="348"/>
      <c r="U102" s="384"/>
      <c r="V102" s="384"/>
      <c r="W102" s="384"/>
      <c r="X102" s="384"/>
    </row>
    <row r="103" spans="5:24" s="345" customFormat="1" x14ac:dyDescent="0.2">
      <c r="E103" s="353"/>
      <c r="F103" s="353"/>
      <c r="G103" s="353"/>
      <c r="H103" s="353"/>
      <c r="I103" s="353"/>
      <c r="J103" s="353"/>
      <c r="K103" s="386"/>
      <c r="L103" s="348"/>
      <c r="M103" s="348"/>
      <c r="N103" s="347"/>
      <c r="O103" s="348"/>
      <c r="P103" s="348"/>
      <c r="Q103" s="348"/>
      <c r="U103" s="384"/>
      <c r="V103" s="384"/>
      <c r="W103" s="384"/>
      <c r="X103" s="384"/>
    </row>
    <row r="104" spans="5:24" s="345" customFormat="1" x14ac:dyDescent="0.2">
      <c r="E104" s="353"/>
      <c r="F104" s="353"/>
      <c r="G104" s="353"/>
      <c r="H104" s="353"/>
      <c r="I104" s="353"/>
      <c r="J104" s="353"/>
      <c r="K104" s="386"/>
      <c r="L104" s="348"/>
      <c r="M104" s="348"/>
      <c r="N104" s="347"/>
      <c r="O104" s="348"/>
      <c r="P104" s="348"/>
      <c r="Q104" s="348"/>
      <c r="U104" s="384"/>
      <c r="V104" s="384"/>
      <c r="W104" s="384"/>
      <c r="X104" s="384"/>
    </row>
    <row r="105" spans="5:24" s="345" customFormat="1" x14ac:dyDescent="0.2">
      <c r="E105" s="353"/>
      <c r="F105" s="353"/>
      <c r="G105" s="353"/>
      <c r="H105" s="353"/>
      <c r="I105" s="353"/>
      <c r="J105" s="353"/>
      <c r="K105" s="386"/>
      <c r="L105" s="348"/>
      <c r="M105" s="348"/>
      <c r="N105" s="347"/>
      <c r="O105" s="348"/>
      <c r="P105" s="348"/>
      <c r="Q105" s="348"/>
      <c r="U105" s="384"/>
      <c r="V105" s="384"/>
      <c r="W105" s="384"/>
      <c r="X105" s="384"/>
    </row>
    <row r="106" spans="5:24" s="345" customFormat="1" x14ac:dyDescent="0.2">
      <c r="E106" s="353"/>
      <c r="F106" s="353"/>
      <c r="G106" s="353"/>
      <c r="H106" s="353"/>
      <c r="I106" s="353"/>
      <c r="J106" s="353"/>
      <c r="K106" s="386"/>
      <c r="L106" s="348"/>
      <c r="M106" s="348"/>
      <c r="N106" s="347"/>
      <c r="O106" s="348"/>
      <c r="P106" s="348"/>
      <c r="Q106" s="348"/>
      <c r="U106" s="384"/>
      <c r="V106" s="384"/>
      <c r="W106" s="384"/>
      <c r="X106" s="384"/>
    </row>
    <row r="107" spans="5:24" s="345" customFormat="1" x14ac:dyDescent="0.2">
      <c r="E107" s="353"/>
      <c r="F107" s="353"/>
      <c r="G107" s="353"/>
      <c r="H107" s="353"/>
      <c r="I107" s="353"/>
      <c r="J107" s="353"/>
      <c r="K107" s="386"/>
      <c r="L107" s="348"/>
      <c r="M107" s="348"/>
      <c r="N107" s="347"/>
      <c r="O107" s="348"/>
      <c r="P107" s="348"/>
      <c r="Q107" s="348"/>
      <c r="U107" s="384"/>
      <c r="V107" s="384"/>
      <c r="W107" s="384"/>
      <c r="X107" s="384"/>
    </row>
    <row r="108" spans="5:24" s="345" customFormat="1" x14ac:dyDescent="0.2">
      <c r="E108" s="353"/>
      <c r="F108" s="353"/>
      <c r="G108" s="353"/>
      <c r="H108" s="353"/>
      <c r="I108" s="353"/>
      <c r="J108" s="353"/>
      <c r="K108" s="386"/>
      <c r="L108" s="348"/>
      <c r="M108" s="348"/>
      <c r="N108" s="347"/>
      <c r="O108" s="348"/>
      <c r="P108" s="348"/>
      <c r="Q108" s="348"/>
      <c r="U108" s="384"/>
      <c r="V108" s="384"/>
      <c r="W108" s="384"/>
      <c r="X108" s="384"/>
    </row>
    <row r="109" spans="5:24" s="345" customFormat="1" x14ac:dyDescent="0.2">
      <c r="E109" s="353"/>
      <c r="F109" s="353"/>
      <c r="G109" s="353"/>
      <c r="H109" s="353"/>
      <c r="I109" s="353"/>
      <c r="J109" s="353"/>
      <c r="K109" s="386"/>
      <c r="L109" s="348"/>
      <c r="M109" s="348"/>
      <c r="N109" s="347"/>
      <c r="O109" s="348"/>
      <c r="P109" s="348"/>
      <c r="Q109" s="348"/>
      <c r="U109" s="384"/>
      <c r="V109" s="384"/>
      <c r="W109" s="384"/>
      <c r="X109" s="384"/>
    </row>
    <row r="110" spans="5:24" s="345" customFormat="1" x14ac:dyDescent="0.2">
      <c r="E110" s="353"/>
      <c r="F110" s="353"/>
      <c r="G110" s="353"/>
      <c r="H110" s="353"/>
      <c r="I110" s="353"/>
      <c r="J110" s="353"/>
      <c r="K110" s="386"/>
      <c r="L110" s="348"/>
      <c r="M110" s="348"/>
      <c r="N110" s="347"/>
      <c r="O110" s="348"/>
      <c r="P110" s="348"/>
      <c r="Q110" s="348"/>
      <c r="U110" s="384"/>
      <c r="V110" s="384"/>
      <c r="W110" s="384"/>
      <c r="X110" s="384"/>
    </row>
    <row r="111" spans="5:24" s="345" customFormat="1" x14ac:dyDescent="0.2">
      <c r="E111" s="353"/>
      <c r="F111" s="353"/>
      <c r="G111" s="353"/>
      <c r="H111" s="353"/>
      <c r="I111" s="353"/>
      <c r="J111" s="353"/>
      <c r="K111" s="386"/>
      <c r="L111" s="348"/>
      <c r="M111" s="348"/>
      <c r="N111" s="347"/>
      <c r="O111" s="348"/>
      <c r="P111" s="348"/>
      <c r="Q111" s="348"/>
      <c r="U111" s="384"/>
      <c r="V111" s="384"/>
      <c r="W111" s="384"/>
      <c r="X111" s="384"/>
    </row>
    <row r="112" spans="5:24" s="345" customFormat="1" x14ac:dyDescent="0.2">
      <c r="E112" s="353"/>
      <c r="F112" s="353"/>
      <c r="G112" s="353"/>
      <c r="H112" s="353"/>
      <c r="I112" s="353"/>
      <c r="J112" s="353"/>
      <c r="K112" s="386"/>
      <c r="L112" s="348"/>
      <c r="M112" s="348"/>
      <c r="N112" s="347"/>
      <c r="O112" s="348"/>
      <c r="P112" s="348"/>
      <c r="Q112" s="348"/>
      <c r="U112" s="384"/>
      <c r="V112" s="384"/>
      <c r="W112" s="384"/>
      <c r="X112" s="384"/>
    </row>
    <row r="113" spans="1:24" s="345" customFormat="1" x14ac:dyDescent="0.2">
      <c r="E113" s="353"/>
      <c r="F113" s="353"/>
      <c r="G113" s="353"/>
      <c r="H113" s="353"/>
      <c r="I113" s="353"/>
      <c r="J113" s="353"/>
      <c r="K113" s="386"/>
      <c r="L113" s="348"/>
      <c r="M113" s="348"/>
      <c r="N113" s="347"/>
      <c r="O113" s="348"/>
      <c r="P113" s="348"/>
      <c r="Q113" s="348"/>
      <c r="U113" s="384"/>
      <c r="V113" s="384"/>
      <c r="W113" s="384"/>
      <c r="X113" s="384"/>
    </row>
    <row r="114" spans="1:24" s="345" customFormat="1" x14ac:dyDescent="0.2">
      <c r="E114" s="353"/>
      <c r="F114" s="353"/>
      <c r="G114" s="353"/>
      <c r="H114" s="353"/>
      <c r="I114" s="353"/>
      <c r="J114" s="353"/>
      <c r="K114" s="386"/>
      <c r="L114" s="348"/>
      <c r="M114" s="348"/>
      <c r="N114" s="347"/>
      <c r="O114" s="348"/>
      <c r="P114" s="348"/>
      <c r="Q114" s="348"/>
      <c r="U114" s="384"/>
      <c r="V114" s="384"/>
      <c r="W114" s="384"/>
      <c r="X114" s="384"/>
    </row>
    <row r="115" spans="1:24" s="345" customFormat="1" x14ac:dyDescent="0.2">
      <c r="E115" s="353"/>
      <c r="F115" s="353"/>
      <c r="G115" s="353"/>
      <c r="H115" s="353"/>
      <c r="I115" s="353"/>
      <c r="J115" s="353"/>
      <c r="K115" s="386"/>
      <c r="L115" s="348"/>
      <c r="M115" s="348"/>
      <c r="N115" s="347"/>
      <c r="O115" s="348"/>
      <c r="P115" s="348"/>
      <c r="Q115" s="348"/>
      <c r="U115" s="384"/>
      <c r="V115" s="384"/>
      <c r="W115" s="384"/>
      <c r="X115" s="384"/>
    </row>
    <row r="116" spans="1:24" s="345" customFormat="1" x14ac:dyDescent="0.2">
      <c r="E116" s="353"/>
      <c r="F116" s="353"/>
      <c r="G116" s="353"/>
      <c r="H116" s="353"/>
      <c r="I116" s="353"/>
      <c r="J116" s="353"/>
      <c r="K116" s="386"/>
      <c r="L116" s="348"/>
      <c r="M116" s="348"/>
      <c r="N116" s="347"/>
      <c r="O116" s="348"/>
      <c r="P116" s="348"/>
      <c r="Q116" s="348"/>
      <c r="U116" s="384"/>
      <c r="V116" s="384"/>
      <c r="W116" s="384"/>
      <c r="X116" s="384"/>
    </row>
    <row r="117" spans="1:24" s="345" customFormat="1" x14ac:dyDescent="0.2">
      <c r="A117" s="348"/>
      <c r="B117" s="348"/>
      <c r="C117" s="397"/>
      <c r="D117" s="397"/>
      <c r="E117" s="397"/>
      <c r="F117" s="397"/>
      <c r="G117" s="397"/>
      <c r="H117" s="397"/>
      <c r="I117" s="397"/>
      <c r="J117" s="397"/>
      <c r="K117" s="386"/>
      <c r="L117" s="348"/>
      <c r="M117" s="348"/>
      <c r="N117" s="347"/>
      <c r="O117" s="348"/>
      <c r="P117" s="348"/>
      <c r="Q117" s="348"/>
      <c r="U117" s="384"/>
      <c r="V117" s="384"/>
      <c r="W117" s="384"/>
      <c r="X117" s="384"/>
    </row>
    <row r="118" spans="1:24" s="345" customFormat="1" x14ac:dyDescent="0.2">
      <c r="A118" s="348"/>
      <c r="B118" s="348"/>
      <c r="C118" s="397"/>
      <c r="D118" s="397"/>
      <c r="E118" s="397"/>
      <c r="F118" s="397"/>
      <c r="G118" s="397"/>
      <c r="H118" s="397"/>
      <c r="I118" s="397"/>
      <c r="J118" s="397"/>
      <c r="K118" s="397"/>
      <c r="L118" s="348"/>
      <c r="M118" s="348"/>
      <c r="N118" s="347"/>
      <c r="O118" s="348"/>
      <c r="P118" s="348"/>
      <c r="Q118" s="348"/>
      <c r="U118" s="384"/>
      <c r="V118" s="384"/>
      <c r="W118" s="384"/>
      <c r="X118" s="384"/>
    </row>
    <row r="119" spans="1:24" s="345" customFormat="1" x14ac:dyDescent="0.2">
      <c r="A119" s="348"/>
      <c r="B119" s="348"/>
      <c r="C119" s="397"/>
      <c r="D119" s="397"/>
      <c r="E119" s="397"/>
      <c r="F119" s="397"/>
      <c r="G119" s="397"/>
      <c r="H119" s="397"/>
      <c r="I119" s="397"/>
      <c r="J119" s="397"/>
      <c r="K119" s="397"/>
      <c r="L119" s="348"/>
      <c r="M119" s="348"/>
      <c r="N119" s="347"/>
      <c r="O119" s="348"/>
      <c r="P119" s="348"/>
      <c r="Q119" s="348"/>
      <c r="U119" s="384"/>
      <c r="V119" s="384"/>
      <c r="W119" s="384"/>
      <c r="X119" s="384"/>
    </row>
    <row r="120" spans="1:24" s="345" customFormat="1" x14ac:dyDescent="0.2">
      <c r="A120" s="348"/>
      <c r="B120" s="348"/>
      <c r="C120" s="397"/>
      <c r="D120" s="397"/>
      <c r="E120" s="397"/>
      <c r="F120" s="397"/>
      <c r="G120" s="397"/>
      <c r="H120" s="397"/>
      <c r="I120" s="397"/>
      <c r="J120" s="397"/>
      <c r="K120" s="397"/>
      <c r="L120" s="348"/>
      <c r="M120" s="348"/>
      <c r="N120" s="347"/>
      <c r="O120" s="348"/>
      <c r="P120" s="348"/>
      <c r="Q120" s="348"/>
      <c r="U120" s="384"/>
      <c r="V120" s="384"/>
      <c r="W120" s="384"/>
      <c r="X120" s="384"/>
    </row>
    <row r="121" spans="1:24" s="345" customFormat="1" x14ac:dyDescent="0.2">
      <c r="A121" s="348"/>
      <c r="B121" s="348"/>
      <c r="C121" s="397"/>
      <c r="D121" s="397"/>
      <c r="E121" s="397"/>
      <c r="F121" s="397"/>
      <c r="G121" s="397"/>
      <c r="H121" s="397"/>
      <c r="I121" s="397"/>
      <c r="J121" s="397"/>
      <c r="K121" s="397"/>
      <c r="L121" s="348"/>
      <c r="M121" s="348"/>
      <c r="N121" s="347"/>
      <c r="O121" s="348"/>
      <c r="P121" s="348"/>
      <c r="Q121" s="348"/>
      <c r="U121" s="384"/>
      <c r="V121" s="384"/>
      <c r="W121" s="384"/>
      <c r="X121" s="384"/>
    </row>
    <row r="122" spans="1:24" s="345" customFormat="1" x14ac:dyDescent="0.2">
      <c r="A122" s="348"/>
      <c r="B122" s="348"/>
      <c r="C122" s="397"/>
      <c r="D122" s="397"/>
      <c r="E122" s="397"/>
      <c r="F122" s="397"/>
      <c r="G122" s="397"/>
      <c r="H122" s="397"/>
      <c r="I122" s="397"/>
      <c r="J122" s="397"/>
      <c r="K122" s="397"/>
      <c r="L122" s="348"/>
      <c r="M122" s="348"/>
      <c r="N122" s="347"/>
      <c r="O122" s="348"/>
      <c r="P122" s="348"/>
      <c r="Q122" s="348"/>
      <c r="U122" s="384"/>
      <c r="V122" s="384"/>
      <c r="W122" s="384"/>
      <c r="X122" s="384"/>
    </row>
    <row r="123" spans="1:24" s="345" customFormat="1" x14ac:dyDescent="0.2">
      <c r="A123" s="348"/>
      <c r="B123" s="348"/>
      <c r="C123" s="397"/>
      <c r="D123" s="397"/>
      <c r="E123" s="397"/>
      <c r="F123" s="397"/>
      <c r="G123" s="397"/>
      <c r="H123" s="397"/>
      <c r="I123" s="397"/>
      <c r="J123" s="397"/>
      <c r="K123" s="397"/>
      <c r="M123" s="384"/>
      <c r="O123" s="348"/>
      <c r="P123" s="348"/>
      <c r="Q123" s="348"/>
      <c r="U123" s="384"/>
      <c r="V123" s="384"/>
      <c r="W123" s="384"/>
      <c r="X123" s="384"/>
    </row>
    <row r="124" spans="1:24" s="345" customFormat="1" x14ac:dyDescent="0.2">
      <c r="A124" s="348"/>
      <c r="B124" s="348"/>
      <c r="C124" s="397"/>
      <c r="D124" s="397"/>
      <c r="E124" s="397"/>
      <c r="F124" s="397"/>
      <c r="G124" s="397"/>
      <c r="H124" s="397"/>
      <c r="I124" s="397"/>
      <c r="J124" s="397"/>
      <c r="K124" s="397"/>
      <c r="M124" s="384"/>
      <c r="O124" s="348"/>
      <c r="P124" s="348"/>
      <c r="Q124" s="348"/>
      <c r="U124" s="384"/>
      <c r="V124" s="384"/>
      <c r="W124" s="384"/>
      <c r="X124" s="384"/>
    </row>
    <row r="125" spans="1:24" s="345" customFormat="1" x14ac:dyDescent="0.2">
      <c r="A125" s="348"/>
      <c r="B125" s="348"/>
      <c r="C125" s="397"/>
      <c r="D125" s="397"/>
      <c r="E125" s="397"/>
      <c r="F125" s="397"/>
      <c r="G125" s="397"/>
      <c r="H125" s="397"/>
      <c r="I125" s="397"/>
      <c r="J125" s="397"/>
      <c r="K125" s="397"/>
      <c r="M125" s="384"/>
      <c r="O125" s="348"/>
      <c r="P125" s="348"/>
      <c r="Q125" s="348"/>
      <c r="U125" s="384"/>
      <c r="V125" s="384"/>
      <c r="W125" s="384"/>
      <c r="X125" s="384"/>
    </row>
    <row r="126" spans="1:24" s="345" customFormat="1" x14ac:dyDescent="0.2">
      <c r="A126" s="348"/>
      <c r="B126" s="348"/>
      <c r="C126" s="397"/>
      <c r="D126" s="397"/>
      <c r="E126" s="397"/>
      <c r="F126" s="397"/>
      <c r="G126" s="397"/>
      <c r="H126" s="397"/>
      <c r="I126" s="397"/>
      <c r="J126" s="397"/>
      <c r="K126" s="397"/>
      <c r="M126" s="384"/>
      <c r="O126" s="348"/>
      <c r="P126" s="348"/>
      <c r="Q126" s="348"/>
      <c r="U126" s="384"/>
      <c r="V126" s="384"/>
      <c r="W126" s="384"/>
      <c r="X126" s="384"/>
    </row>
    <row r="127" spans="1:24" s="345" customFormat="1" x14ac:dyDescent="0.2">
      <c r="A127" s="348"/>
      <c r="B127" s="348"/>
      <c r="C127" s="397"/>
      <c r="D127" s="397"/>
      <c r="E127" s="397"/>
      <c r="F127" s="397"/>
      <c r="G127" s="397"/>
      <c r="H127" s="397"/>
      <c r="I127" s="397"/>
      <c r="J127" s="397"/>
      <c r="K127" s="397"/>
      <c r="M127" s="384"/>
      <c r="O127" s="348"/>
      <c r="P127" s="348"/>
      <c r="Q127" s="348"/>
      <c r="U127" s="384"/>
      <c r="V127" s="384"/>
      <c r="W127" s="384"/>
      <c r="X127" s="384"/>
    </row>
    <row r="128" spans="1:24" s="345" customFormat="1" x14ac:dyDescent="0.2">
      <c r="A128" s="348"/>
      <c r="B128" s="348"/>
      <c r="C128" s="397"/>
      <c r="D128" s="397"/>
      <c r="E128" s="397"/>
      <c r="F128" s="397"/>
      <c r="G128" s="397"/>
      <c r="H128" s="397"/>
      <c r="I128" s="397"/>
      <c r="J128" s="397"/>
      <c r="K128" s="397"/>
      <c r="M128" s="384"/>
      <c r="O128" s="348"/>
      <c r="P128" s="348"/>
      <c r="Q128" s="348"/>
      <c r="U128" s="384"/>
      <c r="V128" s="384"/>
      <c r="W128" s="384"/>
      <c r="X128" s="384"/>
    </row>
    <row r="129" spans="1:27" s="345" customFormat="1" x14ac:dyDescent="0.2">
      <c r="A129" s="348"/>
      <c r="B129" s="348"/>
      <c r="C129" s="397"/>
      <c r="D129" s="397"/>
      <c r="E129" s="397"/>
      <c r="F129" s="397"/>
      <c r="G129" s="397"/>
      <c r="H129" s="397"/>
      <c r="I129" s="397"/>
      <c r="J129" s="397"/>
      <c r="K129" s="397"/>
      <c r="M129" s="384"/>
      <c r="P129" s="348"/>
      <c r="Q129" s="348"/>
      <c r="U129" s="384"/>
      <c r="V129" s="384"/>
      <c r="W129" s="384"/>
      <c r="X129" s="384"/>
    </row>
    <row r="130" spans="1:27" s="345" customFormat="1" x14ac:dyDescent="0.2">
      <c r="A130" s="348"/>
      <c r="B130" s="348"/>
      <c r="C130" s="397"/>
      <c r="D130" s="397"/>
      <c r="E130" s="397"/>
      <c r="F130" s="397"/>
      <c r="G130" s="397"/>
      <c r="H130" s="397"/>
      <c r="I130" s="397"/>
      <c r="J130" s="397"/>
      <c r="K130" s="397"/>
      <c r="M130" s="384"/>
      <c r="P130" s="348"/>
      <c r="Q130" s="348"/>
      <c r="U130" s="384"/>
      <c r="V130" s="384"/>
      <c r="W130" s="384"/>
      <c r="X130" s="384"/>
    </row>
    <row r="131" spans="1:27" s="345" customFormat="1" x14ac:dyDescent="0.2">
      <c r="A131" s="348"/>
      <c r="B131" s="348"/>
      <c r="C131" s="397"/>
      <c r="D131" s="397"/>
      <c r="E131" s="397"/>
      <c r="F131" s="397"/>
      <c r="G131" s="397"/>
      <c r="H131" s="397"/>
      <c r="I131" s="397"/>
      <c r="J131" s="397"/>
      <c r="K131" s="397"/>
      <c r="M131" s="384"/>
      <c r="P131" s="348"/>
      <c r="Q131" s="348"/>
      <c r="U131" s="384"/>
      <c r="V131" s="384"/>
      <c r="W131" s="349"/>
      <c r="X131" s="349"/>
      <c r="Y131" s="348"/>
      <c r="Z131" s="348"/>
      <c r="AA131" s="348"/>
    </row>
    <row r="132" spans="1:27" s="345" customFormat="1" x14ac:dyDescent="0.2">
      <c r="A132" s="348"/>
      <c r="B132" s="348"/>
      <c r="C132" s="397"/>
      <c r="D132" s="397"/>
      <c r="E132" s="397"/>
      <c r="F132" s="397"/>
      <c r="G132" s="397"/>
      <c r="H132" s="397"/>
      <c r="I132" s="397"/>
      <c r="J132" s="397"/>
      <c r="K132" s="397"/>
      <c r="M132" s="384"/>
      <c r="P132" s="348"/>
      <c r="Q132" s="348"/>
      <c r="U132" s="384"/>
      <c r="V132" s="384"/>
      <c r="W132" s="349"/>
      <c r="X132" s="349"/>
      <c r="Y132" s="348"/>
      <c r="Z132" s="348"/>
      <c r="AA132" s="348"/>
    </row>
    <row r="133" spans="1:27" s="345" customFormat="1" x14ac:dyDescent="0.2">
      <c r="A133" s="348"/>
      <c r="B133" s="348"/>
      <c r="C133" s="397"/>
      <c r="D133" s="397"/>
      <c r="E133" s="397"/>
      <c r="F133" s="397"/>
      <c r="G133" s="397"/>
      <c r="H133" s="397"/>
      <c r="I133" s="397"/>
      <c r="J133" s="397"/>
      <c r="K133" s="397"/>
      <c r="M133" s="384"/>
      <c r="P133" s="348"/>
      <c r="Q133" s="348"/>
      <c r="U133" s="384"/>
      <c r="V133" s="384"/>
      <c r="W133" s="349"/>
      <c r="X133" s="349"/>
      <c r="Y133" s="348"/>
      <c r="Z133" s="348"/>
      <c r="AA133" s="348"/>
    </row>
    <row r="134" spans="1:27" s="345" customFormat="1" x14ac:dyDescent="0.2">
      <c r="A134" s="348"/>
      <c r="B134" s="348"/>
      <c r="C134" s="397"/>
      <c r="D134" s="397"/>
      <c r="E134" s="397"/>
      <c r="F134" s="397"/>
      <c r="G134" s="397"/>
      <c r="H134" s="397"/>
      <c r="I134" s="397"/>
      <c r="J134" s="397"/>
      <c r="K134" s="397"/>
      <c r="M134" s="384"/>
      <c r="P134" s="348"/>
      <c r="Q134" s="348"/>
      <c r="U134" s="384"/>
      <c r="V134" s="384"/>
      <c r="W134" s="349"/>
      <c r="X134" s="349"/>
      <c r="Y134" s="348"/>
      <c r="Z134" s="348"/>
      <c r="AA134" s="348"/>
    </row>
    <row r="135" spans="1:27" s="345" customFormat="1" x14ac:dyDescent="0.2">
      <c r="A135" s="348"/>
      <c r="B135" s="348"/>
      <c r="C135" s="397"/>
      <c r="D135" s="397"/>
      <c r="E135" s="397"/>
      <c r="F135" s="397"/>
      <c r="G135" s="397"/>
      <c r="H135" s="397"/>
      <c r="I135" s="397"/>
      <c r="J135" s="397"/>
      <c r="K135" s="397"/>
      <c r="M135" s="384"/>
      <c r="P135" s="348"/>
      <c r="Q135" s="348"/>
      <c r="U135" s="384"/>
      <c r="V135" s="384"/>
      <c r="W135" s="349"/>
      <c r="X135" s="349"/>
      <c r="Y135" s="348"/>
      <c r="Z135" s="348"/>
      <c r="AA135" s="348"/>
    </row>
    <row r="136" spans="1:27" s="345" customFormat="1" x14ac:dyDescent="0.2">
      <c r="A136" s="348"/>
      <c r="B136" s="348"/>
      <c r="C136" s="397"/>
      <c r="D136" s="397"/>
      <c r="E136" s="397"/>
      <c r="F136" s="397"/>
      <c r="G136" s="397"/>
      <c r="H136" s="397"/>
      <c r="I136" s="397"/>
      <c r="J136" s="397"/>
      <c r="K136" s="397"/>
      <c r="M136" s="384"/>
      <c r="P136" s="348"/>
      <c r="Q136" s="348"/>
      <c r="S136" s="348"/>
      <c r="T136" s="347"/>
      <c r="U136" s="396"/>
      <c r="V136" s="349"/>
      <c r="W136" s="349"/>
      <c r="X136" s="349"/>
      <c r="Y136" s="348"/>
      <c r="Z136" s="348"/>
      <c r="AA136" s="348"/>
    </row>
    <row r="137" spans="1:27" s="345" customFormat="1" x14ac:dyDescent="0.2">
      <c r="A137" s="348"/>
      <c r="B137" s="348"/>
      <c r="C137" s="397"/>
      <c r="D137" s="397"/>
      <c r="E137" s="397"/>
      <c r="F137" s="397"/>
      <c r="G137" s="397"/>
      <c r="H137" s="397"/>
      <c r="I137" s="397"/>
      <c r="J137" s="397"/>
      <c r="K137" s="397"/>
      <c r="M137" s="384"/>
      <c r="P137" s="348"/>
      <c r="Q137" s="348"/>
      <c r="S137" s="348"/>
      <c r="T137" s="347"/>
      <c r="U137" s="396"/>
      <c r="V137" s="349"/>
      <c r="W137" s="349"/>
      <c r="X137" s="349"/>
      <c r="Y137" s="348"/>
      <c r="Z137" s="348"/>
      <c r="AA137" s="348"/>
    </row>
    <row r="138" spans="1:27" s="345" customFormat="1" x14ac:dyDescent="0.2">
      <c r="A138" s="348"/>
      <c r="B138" s="348"/>
      <c r="C138" s="397"/>
      <c r="D138" s="397"/>
      <c r="E138" s="397"/>
      <c r="F138" s="397"/>
      <c r="G138" s="397"/>
      <c r="H138" s="397"/>
      <c r="I138" s="397"/>
      <c r="J138" s="397"/>
      <c r="K138" s="397"/>
      <c r="M138" s="384"/>
      <c r="P138" s="348"/>
      <c r="Q138" s="348"/>
      <c r="S138" s="348"/>
      <c r="T138" s="347"/>
      <c r="U138" s="396"/>
      <c r="V138" s="349"/>
      <c r="W138" s="349"/>
      <c r="X138" s="349"/>
      <c r="Y138" s="348"/>
      <c r="Z138" s="348"/>
      <c r="AA138" s="348"/>
    </row>
    <row r="139" spans="1:27" s="345" customFormat="1" x14ac:dyDescent="0.2">
      <c r="A139" s="348"/>
      <c r="B139" s="348"/>
      <c r="C139" s="397"/>
      <c r="D139" s="397"/>
      <c r="E139" s="397"/>
      <c r="F139" s="397"/>
      <c r="G139" s="397"/>
      <c r="H139" s="397"/>
      <c r="I139" s="397"/>
      <c r="J139" s="397"/>
      <c r="K139" s="397"/>
      <c r="M139" s="384"/>
      <c r="P139" s="348"/>
      <c r="Q139" s="348"/>
      <c r="S139" s="348"/>
      <c r="T139" s="347"/>
      <c r="U139" s="396"/>
      <c r="V139" s="349"/>
      <c r="W139" s="349"/>
      <c r="X139" s="349"/>
      <c r="Y139" s="348"/>
      <c r="Z139" s="348"/>
      <c r="AA139" s="348"/>
    </row>
    <row r="140" spans="1:27" s="345" customFormat="1" x14ac:dyDescent="0.2">
      <c r="A140" s="348"/>
      <c r="B140" s="348"/>
      <c r="C140" s="397"/>
      <c r="D140" s="397"/>
      <c r="E140" s="397"/>
      <c r="F140" s="397"/>
      <c r="G140" s="397"/>
      <c r="H140" s="397"/>
      <c r="I140" s="397"/>
      <c r="J140" s="397"/>
      <c r="K140" s="397"/>
      <c r="M140" s="384"/>
      <c r="P140" s="348"/>
      <c r="Q140" s="348"/>
      <c r="S140" s="348"/>
      <c r="T140" s="347"/>
      <c r="U140" s="396"/>
      <c r="V140" s="349"/>
      <c r="W140" s="349"/>
      <c r="X140" s="349"/>
      <c r="Y140" s="348"/>
      <c r="Z140" s="348"/>
      <c r="AA140" s="348"/>
    </row>
    <row r="141" spans="1:27" s="345" customFormat="1" x14ac:dyDescent="0.2">
      <c r="A141" s="348"/>
      <c r="B141" s="348"/>
      <c r="C141" s="397"/>
      <c r="D141" s="397"/>
      <c r="E141" s="397"/>
      <c r="F141" s="397"/>
      <c r="G141" s="397"/>
      <c r="H141" s="397"/>
      <c r="I141" s="397"/>
      <c r="J141" s="397"/>
      <c r="K141" s="397"/>
      <c r="M141" s="384"/>
      <c r="P141" s="348"/>
      <c r="Q141" s="348"/>
      <c r="S141" s="348"/>
      <c r="T141" s="347"/>
      <c r="U141" s="396"/>
      <c r="V141" s="349"/>
      <c r="W141" s="349"/>
      <c r="X141" s="349"/>
      <c r="Y141" s="348"/>
      <c r="Z141" s="348"/>
      <c r="AA141" s="348"/>
    </row>
    <row r="142" spans="1:27" s="345" customFormat="1" x14ac:dyDescent="0.2">
      <c r="A142" s="348"/>
      <c r="B142" s="348"/>
      <c r="C142" s="397"/>
      <c r="D142" s="397"/>
      <c r="E142" s="397"/>
      <c r="F142" s="397"/>
      <c r="G142" s="397"/>
      <c r="H142" s="397"/>
      <c r="I142" s="397"/>
      <c r="J142" s="397"/>
      <c r="K142" s="397"/>
      <c r="M142" s="384"/>
      <c r="P142" s="348"/>
      <c r="Q142" s="348"/>
      <c r="S142" s="348"/>
      <c r="T142" s="347"/>
      <c r="U142" s="396"/>
      <c r="V142" s="349"/>
      <c r="W142" s="349"/>
      <c r="X142" s="349"/>
      <c r="Y142" s="348"/>
      <c r="Z142" s="348"/>
      <c r="AA142" s="348"/>
    </row>
    <row r="143" spans="1:27" s="345" customFormat="1" x14ac:dyDescent="0.2">
      <c r="A143" s="348"/>
      <c r="B143" s="348"/>
      <c r="C143" s="397"/>
      <c r="D143" s="397"/>
      <c r="E143" s="397"/>
      <c r="F143" s="397"/>
      <c r="G143" s="397"/>
      <c r="H143" s="397"/>
      <c r="I143" s="397"/>
      <c r="J143" s="397"/>
      <c r="K143" s="397"/>
      <c r="M143" s="384"/>
      <c r="P143" s="348"/>
      <c r="Q143" s="348"/>
      <c r="S143" s="348"/>
      <c r="T143" s="347"/>
      <c r="U143" s="396"/>
      <c r="V143" s="349"/>
      <c r="W143" s="349"/>
      <c r="X143" s="349"/>
      <c r="Y143" s="348"/>
      <c r="Z143" s="348"/>
      <c r="AA143" s="348"/>
    </row>
    <row r="144" spans="1:27" s="345" customFormat="1" x14ac:dyDescent="0.2">
      <c r="A144" s="348"/>
      <c r="B144" s="348"/>
      <c r="C144" s="397"/>
      <c r="D144" s="397"/>
      <c r="E144" s="397"/>
      <c r="F144" s="397"/>
      <c r="G144" s="397"/>
      <c r="H144" s="397"/>
      <c r="I144" s="397"/>
      <c r="J144" s="397"/>
      <c r="K144" s="397"/>
      <c r="M144" s="384"/>
      <c r="P144" s="348"/>
      <c r="Q144" s="348"/>
      <c r="S144" s="348"/>
      <c r="T144" s="347"/>
      <c r="U144" s="396"/>
      <c r="V144" s="349"/>
      <c r="W144" s="349"/>
      <c r="X144" s="349"/>
      <c r="Y144" s="348"/>
      <c r="Z144" s="348"/>
      <c r="AA144" s="348"/>
    </row>
    <row r="145" spans="1:27" s="345" customFormat="1" x14ac:dyDescent="0.2">
      <c r="A145" s="348"/>
      <c r="B145" s="348"/>
      <c r="C145" s="397"/>
      <c r="D145" s="397"/>
      <c r="E145" s="397"/>
      <c r="F145" s="397"/>
      <c r="G145" s="397"/>
      <c r="H145" s="397"/>
      <c r="I145" s="397"/>
      <c r="J145" s="397"/>
      <c r="K145" s="397"/>
      <c r="M145" s="384"/>
      <c r="P145" s="348"/>
      <c r="Q145" s="348"/>
      <c r="S145" s="348"/>
      <c r="T145" s="347"/>
      <c r="U145" s="396"/>
      <c r="V145" s="349"/>
      <c r="W145" s="349"/>
      <c r="X145" s="349"/>
      <c r="Y145" s="348"/>
      <c r="Z145" s="348"/>
      <c r="AA145" s="348"/>
    </row>
    <row r="146" spans="1:27" s="345" customFormat="1" x14ac:dyDescent="0.2">
      <c r="A146" s="348"/>
      <c r="B146" s="348"/>
      <c r="C146" s="397"/>
      <c r="D146" s="397"/>
      <c r="E146" s="397"/>
      <c r="F146" s="397"/>
      <c r="G146" s="397"/>
      <c r="H146" s="397"/>
      <c r="I146" s="397"/>
      <c r="J146" s="397"/>
      <c r="K146" s="397"/>
      <c r="M146" s="384"/>
      <c r="P146" s="348"/>
      <c r="Q146" s="348"/>
      <c r="S146" s="348"/>
      <c r="T146" s="347"/>
      <c r="U146" s="396"/>
      <c r="V146" s="349"/>
      <c r="W146" s="349"/>
      <c r="X146" s="349"/>
      <c r="Y146" s="348"/>
      <c r="Z146" s="348"/>
      <c r="AA146" s="348"/>
    </row>
    <row r="147" spans="1:27" s="345" customFormat="1" x14ac:dyDescent="0.2">
      <c r="A147" s="348"/>
      <c r="B147" s="348"/>
      <c r="C147" s="397"/>
      <c r="D147" s="397"/>
      <c r="E147" s="397"/>
      <c r="F147" s="397"/>
      <c r="G147" s="397"/>
      <c r="H147" s="397"/>
      <c r="I147" s="397"/>
      <c r="J147" s="397"/>
      <c r="K147" s="397"/>
      <c r="M147" s="384"/>
      <c r="P147" s="348"/>
      <c r="Q147" s="348"/>
      <c r="S147" s="348"/>
      <c r="T147" s="347"/>
      <c r="U147" s="396"/>
      <c r="V147" s="349"/>
      <c r="W147" s="349"/>
      <c r="X147" s="349"/>
      <c r="Y147" s="348"/>
      <c r="Z147" s="348"/>
      <c r="AA147" s="348"/>
    </row>
    <row r="148" spans="1:27" x14ac:dyDescent="0.2">
      <c r="P148" s="348"/>
      <c r="Q148" s="348"/>
      <c r="R148" s="345"/>
    </row>
    <row r="149" spans="1:27" x14ac:dyDescent="0.2">
      <c r="Q149" s="348"/>
      <c r="R149" s="345"/>
    </row>
    <row r="150" spans="1:27" x14ac:dyDescent="0.2">
      <c r="Q150" s="348"/>
      <c r="R150" s="345"/>
    </row>
    <row r="151" spans="1:27" x14ac:dyDescent="0.2">
      <c r="Q151" s="348"/>
    </row>
    <row r="152" spans="1:27" x14ac:dyDescent="0.2">
      <c r="Q152" s="348"/>
    </row>
    <row r="153" spans="1:27" x14ac:dyDescent="0.2">
      <c r="Q153" s="348"/>
    </row>
  </sheetData>
  <mergeCells count="1">
    <mergeCell ref="L9:M9"/>
  </mergeCells>
  <conditionalFormatting sqref="U6:U11 AE6:AE11">
    <cfRule type="aboveAverage" dxfId="3" priority="1" aboveAverage="0" stdDev="1"/>
    <cfRule type="aboveAverage" dxfId="2" priority="2" stdDev="1"/>
  </conditionalFormatting>
  <conditionalFormatting sqref="U45:U58 AE45:AE58 B8:B21">
    <cfRule type="aboveAverage" dxfId="1" priority="3" aboveAverage="0" stdDev="1"/>
    <cfRule type="aboveAverage" dxfId="0" priority="4" stdDev="1"/>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2D46-9027-499D-A295-4E05527763D7}">
  <dimension ref="A1:Y41"/>
  <sheetViews>
    <sheetView topLeftCell="A13" workbookViewId="0">
      <selection activeCell="Y29" sqref="Y29"/>
    </sheetView>
  </sheetViews>
  <sheetFormatPr defaultRowHeight="15" x14ac:dyDescent="0.25"/>
  <cols>
    <col min="1" max="1" width="10.28515625" bestFit="1" customWidth="1"/>
    <col min="2" max="2" width="12.85546875" customWidth="1"/>
    <col min="3" max="3" width="11.28515625" customWidth="1"/>
    <col min="4" max="4" width="13.42578125" customWidth="1"/>
    <col min="5" max="6" width="10.7109375" bestFit="1" customWidth="1"/>
    <col min="7" max="7" width="10.140625" bestFit="1" customWidth="1"/>
    <col min="8" max="8" width="6.42578125" customWidth="1"/>
    <col min="9" max="10" width="9.7109375" bestFit="1" customWidth="1"/>
    <col min="11" max="11" width="5.5703125" customWidth="1"/>
    <col min="12" max="12" width="11.28515625" customWidth="1"/>
    <col min="17" max="17" width="11.28515625" bestFit="1" customWidth="1"/>
    <col min="18" max="18" width="8.7109375" customWidth="1"/>
    <col min="19" max="19" width="8.42578125" customWidth="1"/>
    <col min="20" max="21" width="9" customWidth="1"/>
    <col min="22" max="22" width="10" customWidth="1"/>
  </cols>
  <sheetData>
    <row r="1" spans="1:22" ht="16.5" thickBot="1" x14ac:dyDescent="0.3">
      <c r="A1" s="1" t="s">
        <v>0</v>
      </c>
    </row>
    <row r="2" spans="1:22" x14ac:dyDescent="0.25">
      <c r="A2" s="2"/>
      <c r="B2" s="3"/>
      <c r="C2" s="545" t="s">
        <v>1</v>
      </c>
      <c r="D2" s="546"/>
      <c r="E2" s="547"/>
      <c r="F2" s="542"/>
      <c r="G2" s="5" t="s">
        <v>2</v>
      </c>
      <c r="H2" s="6"/>
      <c r="I2" s="6"/>
      <c r="J2" s="6"/>
      <c r="K2" s="6"/>
      <c r="L2" s="7" t="s">
        <v>3</v>
      </c>
      <c r="M2" s="727" t="s">
        <v>4</v>
      </c>
      <c r="N2" s="729"/>
      <c r="O2" s="730"/>
      <c r="P2" s="713" t="s">
        <v>5</v>
      </c>
      <c r="Q2" s="731"/>
      <c r="R2" s="731"/>
      <c r="S2" s="732"/>
      <c r="T2" s="8" t="s">
        <v>6</v>
      </c>
      <c r="U2" s="8" t="s">
        <v>7</v>
      </c>
    </row>
    <row r="3" spans="1:22" x14ac:dyDescent="0.25">
      <c r="A3" s="9" t="s">
        <v>8</v>
      </c>
      <c r="B3" s="9" t="s">
        <v>9</v>
      </c>
      <c r="C3" s="10" t="s">
        <v>10</v>
      </c>
      <c r="D3" s="715" t="s">
        <v>11</v>
      </c>
      <c r="E3" s="733"/>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2"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c r="V4" s="32"/>
    </row>
    <row r="5" spans="1:22"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543" t="s">
        <v>42</v>
      </c>
      <c r="R5" s="44" t="s">
        <v>44</v>
      </c>
      <c r="S5" s="42" t="s">
        <v>43</v>
      </c>
      <c r="T5" s="45" t="s">
        <v>43</v>
      </c>
      <c r="U5" s="45" t="s">
        <v>43</v>
      </c>
      <c r="V5" s="32"/>
    </row>
    <row r="6" spans="1:22" x14ac:dyDescent="0.25">
      <c r="A6" s="186" t="s">
        <v>60</v>
      </c>
      <c r="B6" s="187">
        <v>41872</v>
      </c>
      <c r="C6" s="188">
        <f>9-1.57</f>
        <v>7.43</v>
      </c>
      <c r="D6" s="189">
        <v>0</v>
      </c>
      <c r="E6" s="190">
        <v>0</v>
      </c>
      <c r="F6" s="191" t="s">
        <v>61</v>
      </c>
      <c r="G6" s="192">
        <v>2.0499999999999998</v>
      </c>
      <c r="H6" s="193" t="s">
        <v>48</v>
      </c>
      <c r="I6" s="193" t="s">
        <v>48</v>
      </c>
      <c r="J6" s="193"/>
      <c r="K6" s="194">
        <v>1</v>
      </c>
      <c r="L6" s="192">
        <f t="shared" ref="L6:L13" si="0">C6</f>
        <v>7.43</v>
      </c>
      <c r="M6" s="192">
        <f>M19</f>
        <v>0.45280000000000004</v>
      </c>
      <c r="N6" s="195">
        <f t="shared" ref="N6:N13" si="1">L6*M6</f>
        <v>3.3643040000000002</v>
      </c>
      <c r="O6" s="193" t="e">
        <f>N6-#REF!</f>
        <v>#REF!</v>
      </c>
      <c r="P6" s="196">
        <f>G6</f>
        <v>2.0499999999999998</v>
      </c>
      <c r="Q6" s="193">
        <f>Q9</f>
        <v>0.4366666666666667</v>
      </c>
      <c r="R6" s="197" t="s">
        <v>45</v>
      </c>
      <c r="S6" s="195">
        <f>((P6*Q6)-(P6*(1-(Q6/0.9)))*0.07)</f>
        <v>0.82129074074074071</v>
      </c>
      <c r="T6" s="196">
        <f>-S6</f>
        <v>-0.82129074074074071</v>
      </c>
      <c r="U6" s="196" t="e">
        <f>T6+#REF!</f>
        <v>#REF!</v>
      </c>
      <c r="V6" s="190"/>
    </row>
    <row r="7" spans="1:22" x14ac:dyDescent="0.25">
      <c r="A7" s="198" t="s">
        <v>62</v>
      </c>
      <c r="B7" s="199">
        <v>41872</v>
      </c>
      <c r="C7" s="200">
        <f>6-0.63</f>
        <v>5.37</v>
      </c>
      <c r="D7" s="201">
        <v>0</v>
      </c>
      <c r="E7" s="202">
        <v>0</v>
      </c>
      <c r="F7" s="203" t="s">
        <v>59</v>
      </c>
      <c r="G7" s="204">
        <v>2</v>
      </c>
      <c r="H7" s="205" t="s">
        <v>48</v>
      </c>
      <c r="I7" s="205" t="s">
        <v>48</v>
      </c>
      <c r="J7" s="205"/>
      <c r="K7" s="206">
        <v>1</v>
      </c>
      <c r="L7" s="204">
        <f t="shared" si="0"/>
        <v>5.37</v>
      </c>
      <c r="M7" s="204">
        <f>M19</f>
        <v>0.45280000000000004</v>
      </c>
      <c r="N7" s="207">
        <f t="shared" si="1"/>
        <v>2.4315360000000004</v>
      </c>
      <c r="O7" s="205">
        <f>N7-N2</f>
        <v>2.4315360000000004</v>
      </c>
      <c r="P7" s="208">
        <f>G7</f>
        <v>2</v>
      </c>
      <c r="Q7" s="205">
        <f>Q9</f>
        <v>0.4366666666666667</v>
      </c>
      <c r="R7" s="206" t="s">
        <v>45</v>
      </c>
      <c r="S7" s="207">
        <f>((P7*Q7)-(P7*(1-(Q7/0.9)))*0.07)</f>
        <v>0.80125925925925934</v>
      </c>
      <c r="T7" s="208">
        <f>-S7</f>
        <v>-0.80125925925925934</v>
      </c>
      <c r="U7" s="208"/>
      <c r="V7" s="202"/>
    </row>
    <row r="8" spans="1:22" s="276" customFormat="1" x14ac:dyDescent="0.25">
      <c r="A8" s="264" t="s">
        <v>63</v>
      </c>
      <c r="B8" s="265">
        <v>41872</v>
      </c>
      <c r="C8" s="266">
        <f>(30/3.2808)-1.76</f>
        <v>7.3841111923920995</v>
      </c>
      <c r="D8" s="267">
        <v>0</v>
      </c>
      <c r="E8" s="268">
        <v>0</v>
      </c>
      <c r="F8" s="269" t="s">
        <v>59</v>
      </c>
      <c r="G8" s="270">
        <v>2.2400000000000002</v>
      </c>
      <c r="H8" s="272" t="s">
        <v>48</v>
      </c>
      <c r="I8" s="272" t="s">
        <v>48</v>
      </c>
      <c r="J8" s="272"/>
      <c r="K8" s="273">
        <v>1</v>
      </c>
      <c r="L8" s="270">
        <f t="shared" si="0"/>
        <v>7.3841111923920995</v>
      </c>
      <c r="M8" s="270">
        <f>M19</f>
        <v>0.45280000000000004</v>
      </c>
      <c r="N8" s="271">
        <f t="shared" si="1"/>
        <v>3.3435255479151431</v>
      </c>
      <c r="O8" s="272"/>
      <c r="P8" s="274">
        <f>G8</f>
        <v>2.2400000000000002</v>
      </c>
      <c r="Q8" s="272">
        <f>Q9</f>
        <v>0.4366666666666667</v>
      </c>
      <c r="R8" s="273" t="s">
        <v>45</v>
      </c>
      <c r="S8" s="271">
        <f>((P8*Q8)-(P8*(1-(Q8/0.9)))*0.07)</f>
        <v>0.89741037037037052</v>
      </c>
      <c r="T8" s="274">
        <f>-S8</f>
        <v>-0.89741037037037052</v>
      </c>
      <c r="U8" s="274"/>
      <c r="V8" s="268"/>
    </row>
    <row r="9" spans="1:22" x14ac:dyDescent="0.25">
      <c r="A9" s="198" t="s">
        <v>51</v>
      </c>
      <c r="B9" s="199">
        <v>41872</v>
      </c>
      <c r="C9" s="200">
        <f>(30/3.2808)-2.1</f>
        <v>7.0441111923920996</v>
      </c>
      <c r="D9" s="201">
        <v>0</v>
      </c>
      <c r="E9" s="202">
        <v>0</v>
      </c>
      <c r="F9" s="203" t="s">
        <v>59</v>
      </c>
      <c r="G9" s="204">
        <v>2.09</v>
      </c>
      <c r="H9" s="205">
        <f>AVERAGE(2.18,2.05,2.22,2.07,2,2.19,2.05,2.2,2.03)</f>
        <v>2.1100000000000003</v>
      </c>
      <c r="I9" s="205">
        <f>AVERAGE(2.09,2.18,2.05,2.22,2.07,2,2.19,2.05,2.2,2.03)</f>
        <v>2.1079999999999997</v>
      </c>
      <c r="J9" s="205"/>
      <c r="K9" s="206">
        <v>10</v>
      </c>
      <c r="L9" s="204">
        <f t="shared" si="0"/>
        <v>7.0441111923920996</v>
      </c>
      <c r="M9" s="204">
        <f>M19</f>
        <v>0.45280000000000004</v>
      </c>
      <c r="N9" s="207">
        <f t="shared" si="1"/>
        <v>3.1895735479151428</v>
      </c>
      <c r="O9" s="205"/>
      <c r="P9" s="208">
        <f>I9</f>
        <v>2.1079999999999997</v>
      </c>
      <c r="Q9" s="205">
        <v>0.4366666666666667</v>
      </c>
      <c r="R9" s="206" t="s">
        <v>46</v>
      </c>
      <c r="S9" s="207">
        <f>((P9*Q9)-(P9*(1-(Q9/0.9)))*0.07)</f>
        <v>0.8445272592592592</v>
      </c>
      <c r="T9" s="208">
        <f>-S9</f>
        <v>-0.8445272592592592</v>
      </c>
      <c r="U9" s="208"/>
      <c r="V9" s="202"/>
    </row>
    <row r="10" spans="1:22" ht="15.75" thickBot="1" x14ac:dyDescent="0.3">
      <c r="A10" s="146" t="s">
        <v>53</v>
      </c>
      <c r="B10" s="209">
        <v>41872</v>
      </c>
      <c r="C10" s="210">
        <f>(30/3.2808)-2.07</f>
        <v>7.074111192392099</v>
      </c>
      <c r="D10" s="211">
        <v>0</v>
      </c>
      <c r="E10" s="212">
        <v>0</v>
      </c>
      <c r="F10" s="213" t="s">
        <v>59</v>
      </c>
      <c r="G10" s="214">
        <v>2.48</v>
      </c>
      <c r="H10" s="157" t="s">
        <v>48</v>
      </c>
      <c r="I10" s="157" t="s">
        <v>48</v>
      </c>
      <c r="J10" s="157">
        <f>C10-G10-L1</f>
        <v>4.5941111923920985</v>
      </c>
      <c r="K10" s="215">
        <v>1</v>
      </c>
      <c r="L10" s="214">
        <f t="shared" si="0"/>
        <v>7.074111192392099</v>
      </c>
      <c r="M10" s="214">
        <f>M19</f>
        <v>0.45280000000000004</v>
      </c>
      <c r="N10" s="160">
        <f t="shared" si="1"/>
        <v>3.2031575479151426</v>
      </c>
      <c r="O10" s="157"/>
      <c r="P10" s="216">
        <f>G10</f>
        <v>2.48</v>
      </c>
      <c r="Q10" s="157">
        <f>Q9</f>
        <v>0.4366666666666667</v>
      </c>
      <c r="R10" s="215" t="s">
        <v>45</v>
      </c>
      <c r="S10" s="160">
        <f>((P10*Q10)-(P10*(1-(Q10/0.9)))*0.07)</f>
        <v>0.99356148148148171</v>
      </c>
      <c r="T10" s="216">
        <f>-S10</f>
        <v>-0.99356148148148171</v>
      </c>
      <c r="U10" s="216"/>
      <c r="V10" s="216"/>
    </row>
    <row r="11" spans="1:22" x14ac:dyDescent="0.25">
      <c r="A11" s="46" t="s">
        <v>47</v>
      </c>
      <c r="B11" s="47">
        <v>41872</v>
      </c>
      <c r="C11" s="48">
        <f>12-0.62</f>
        <v>11.38</v>
      </c>
      <c r="D11" s="49">
        <v>0</v>
      </c>
      <c r="E11" s="50">
        <v>0</v>
      </c>
      <c r="F11" s="51" t="s">
        <v>19</v>
      </c>
      <c r="G11" s="52">
        <v>0</v>
      </c>
      <c r="H11" s="53" t="s">
        <v>48</v>
      </c>
      <c r="I11" s="53" t="s">
        <v>48</v>
      </c>
      <c r="J11" s="54" t="s">
        <v>48</v>
      </c>
      <c r="K11" s="55">
        <v>1</v>
      </c>
      <c r="L11" s="52">
        <f t="shared" si="0"/>
        <v>11.38</v>
      </c>
      <c r="M11" s="52">
        <v>0.9</v>
      </c>
      <c r="N11" s="53">
        <f t="shared" si="1"/>
        <v>10.242000000000001</v>
      </c>
      <c r="O11" s="54" t="s">
        <v>48</v>
      </c>
      <c r="P11" s="56">
        <f>G11</f>
        <v>0</v>
      </c>
      <c r="Q11" s="54" t="s">
        <v>48</v>
      </c>
      <c r="R11" s="55" t="s">
        <v>48</v>
      </c>
      <c r="S11" s="57" t="s">
        <v>48</v>
      </c>
      <c r="T11" s="56" t="str">
        <f t="shared" ref="T11:T17" si="2">S11</f>
        <v>-</v>
      </c>
      <c r="U11" s="58" t="s">
        <v>48</v>
      </c>
      <c r="V11" s="50"/>
    </row>
    <row r="12" spans="1:22" x14ac:dyDescent="0.25">
      <c r="A12" s="59" t="s">
        <v>49</v>
      </c>
      <c r="B12" s="60">
        <v>41872</v>
      </c>
      <c r="C12" s="61">
        <f>12-2</f>
        <v>10</v>
      </c>
      <c r="D12" s="62">
        <v>0</v>
      </c>
      <c r="E12" s="63">
        <v>0</v>
      </c>
      <c r="F12" s="64" t="s">
        <v>19</v>
      </c>
      <c r="G12" s="65">
        <v>0</v>
      </c>
      <c r="H12" s="66" t="s">
        <v>48</v>
      </c>
      <c r="I12" s="66" t="s">
        <v>48</v>
      </c>
      <c r="J12" s="67" t="s">
        <v>48</v>
      </c>
      <c r="K12" s="68">
        <v>1</v>
      </c>
      <c r="L12" s="65">
        <f t="shared" si="0"/>
        <v>10</v>
      </c>
      <c r="M12" s="65">
        <v>0.9</v>
      </c>
      <c r="N12" s="66">
        <f t="shared" si="1"/>
        <v>9</v>
      </c>
      <c r="O12" s="67" t="s">
        <v>48</v>
      </c>
      <c r="P12" s="69">
        <f>G12</f>
        <v>0</v>
      </c>
      <c r="Q12" s="67" t="s">
        <v>48</v>
      </c>
      <c r="R12" s="68" t="s">
        <v>48</v>
      </c>
      <c r="S12" s="70" t="s">
        <v>48</v>
      </c>
      <c r="T12" s="69" t="str">
        <f t="shared" si="2"/>
        <v>-</v>
      </c>
      <c r="U12" s="71" t="s">
        <v>48</v>
      </c>
      <c r="V12" s="63"/>
    </row>
    <row r="13" spans="1:22" ht="15.75" thickBot="1" x14ac:dyDescent="0.3">
      <c r="A13" s="72" t="s">
        <v>50</v>
      </c>
      <c r="B13" s="73">
        <v>41872</v>
      </c>
      <c r="C13" s="74">
        <f>7.5-1.35</f>
        <v>6.15</v>
      </c>
      <c r="D13" s="75">
        <v>0</v>
      </c>
      <c r="E13" s="76">
        <v>0</v>
      </c>
      <c r="F13" s="77" t="s">
        <v>19</v>
      </c>
      <c r="G13" s="78">
        <v>0</v>
      </c>
      <c r="H13" s="79" t="s">
        <v>48</v>
      </c>
      <c r="I13" s="79" t="s">
        <v>48</v>
      </c>
      <c r="J13" s="80" t="s">
        <v>48</v>
      </c>
      <c r="K13" s="81">
        <v>1</v>
      </c>
      <c r="L13" s="78">
        <f t="shared" si="0"/>
        <v>6.15</v>
      </c>
      <c r="M13" s="78">
        <v>0.9</v>
      </c>
      <c r="N13" s="79">
        <f t="shared" si="1"/>
        <v>5.5350000000000001</v>
      </c>
      <c r="O13" s="80" t="s">
        <v>48</v>
      </c>
      <c r="P13" s="82">
        <f>G13</f>
        <v>0</v>
      </c>
      <c r="Q13" s="80" t="s">
        <v>48</v>
      </c>
      <c r="R13" s="81" t="s">
        <v>48</v>
      </c>
      <c r="S13" s="83" t="s">
        <v>48</v>
      </c>
      <c r="T13" s="82" t="str">
        <f t="shared" si="2"/>
        <v>-</v>
      </c>
      <c r="U13" s="84" t="s">
        <v>48</v>
      </c>
      <c r="V13" s="76"/>
    </row>
    <row r="14" spans="1:22" x14ac:dyDescent="0.25">
      <c r="A14" s="102" t="s">
        <v>51</v>
      </c>
      <c r="B14" s="103">
        <v>42171</v>
      </c>
      <c r="C14" s="104">
        <f>(30/3.2808)-0.35</f>
        <v>8.7941111923920996</v>
      </c>
      <c r="D14" s="105">
        <v>0</v>
      </c>
      <c r="E14" s="106">
        <v>0</v>
      </c>
      <c r="F14" s="107" t="s">
        <v>52</v>
      </c>
      <c r="G14" s="108">
        <v>1.95</v>
      </c>
      <c r="H14" s="109">
        <f>AVERAGE(1.9,1.94,2.05,1.98,1.91,2.06,2.12,2.12,2.04)</f>
        <v>2.0133333333333336</v>
      </c>
      <c r="I14" s="110">
        <f>AVERAGE(1.95,1.9,1.94,2.05,1.98,1.91,2.06,2.12,2.12,2.04)</f>
        <v>2.0070000000000001</v>
      </c>
      <c r="J14" s="109">
        <f>C14-G14-L9</f>
        <v>-0.20000000000000018</v>
      </c>
      <c r="K14" s="111">
        <v>10</v>
      </c>
      <c r="L14" s="112">
        <f>L9</f>
        <v>7.0441111923920996</v>
      </c>
      <c r="M14" s="108"/>
      <c r="N14" s="110"/>
      <c r="O14" s="113"/>
      <c r="P14" s="112">
        <f>G14+J14</f>
        <v>1.7499999999999998</v>
      </c>
      <c r="Q14" s="110">
        <v>0.46666666666666662</v>
      </c>
      <c r="R14" s="114" t="s">
        <v>46</v>
      </c>
      <c r="S14" s="109">
        <f>P14*Q14</f>
        <v>0.81666666666666643</v>
      </c>
      <c r="T14" s="112">
        <f>S14</f>
        <v>0.81666666666666643</v>
      </c>
      <c r="U14" s="115" t="s">
        <v>48</v>
      </c>
      <c r="V14" s="106"/>
    </row>
    <row r="15" spans="1:22" x14ac:dyDescent="0.25">
      <c r="A15" s="102" t="s">
        <v>53</v>
      </c>
      <c r="B15" s="103">
        <v>42171</v>
      </c>
      <c r="C15" s="104">
        <f>9-0.25</f>
        <v>8.75</v>
      </c>
      <c r="D15" s="105">
        <v>0</v>
      </c>
      <c r="E15" s="106">
        <v>0</v>
      </c>
      <c r="F15" s="107" t="s">
        <v>52</v>
      </c>
      <c r="G15" s="108">
        <v>2.8</v>
      </c>
      <c r="H15" s="109" t="s">
        <v>48</v>
      </c>
      <c r="I15" s="110" t="s">
        <v>48</v>
      </c>
      <c r="J15" s="109">
        <f>C15-G15-L10</f>
        <v>-1.1241111923920988</v>
      </c>
      <c r="K15" s="111">
        <v>1</v>
      </c>
      <c r="L15" s="112">
        <f>L10</f>
        <v>7.074111192392099</v>
      </c>
      <c r="M15" s="108"/>
      <c r="N15" s="110"/>
      <c r="O15" s="113"/>
      <c r="P15" s="112">
        <f>G15+J15</f>
        <v>1.675888807607901</v>
      </c>
      <c r="Q15" s="110">
        <f>Q14</f>
        <v>0.46666666666666662</v>
      </c>
      <c r="R15" s="114" t="s">
        <v>45</v>
      </c>
      <c r="S15" s="109">
        <f>P15*Q15</f>
        <v>0.78208144355035369</v>
      </c>
      <c r="T15" s="112">
        <f t="shared" si="2"/>
        <v>0.78208144355035369</v>
      </c>
      <c r="U15" s="115" t="s">
        <v>48</v>
      </c>
      <c r="V15" s="106"/>
    </row>
    <row r="16" spans="1:22" x14ac:dyDescent="0.25">
      <c r="A16" s="102" t="s">
        <v>49</v>
      </c>
      <c r="B16" s="103">
        <v>42171</v>
      </c>
      <c r="C16" s="104">
        <f>12-1.51</f>
        <v>10.49</v>
      </c>
      <c r="D16" s="105">
        <v>0</v>
      </c>
      <c r="E16" s="106">
        <v>0</v>
      </c>
      <c r="F16" s="107" t="s">
        <v>52</v>
      </c>
      <c r="G16" s="108">
        <v>0.67</v>
      </c>
      <c r="H16" s="109">
        <f>AVERAGE(0.76,0.74,0.73,0.76,0.76,0.92,0.79,0.7,0.83)</f>
        <v>0.77666666666666673</v>
      </c>
      <c r="I16" s="110">
        <f>AVERAGE(0.67,0.76,0.74,0.73,0.76,0.76,0.92,0.79,0.7,0.83)</f>
        <v>0.76600000000000001</v>
      </c>
      <c r="J16" s="109">
        <f>C16-G16-L12</f>
        <v>-0.17999999999999972</v>
      </c>
      <c r="K16" s="111">
        <v>10</v>
      </c>
      <c r="L16" s="112">
        <f>C16-G16</f>
        <v>9.82</v>
      </c>
      <c r="M16" s="108">
        <v>0.9</v>
      </c>
      <c r="N16" s="110">
        <f>L16*M16</f>
        <v>8.838000000000001</v>
      </c>
      <c r="O16" s="113" t="s">
        <v>48</v>
      </c>
      <c r="P16" s="112">
        <f>I16</f>
        <v>0.76600000000000001</v>
      </c>
      <c r="Q16" s="110">
        <v>0.625</v>
      </c>
      <c r="R16" s="114" t="s">
        <v>46</v>
      </c>
      <c r="S16" s="109">
        <f>P16*Q16</f>
        <v>0.47875000000000001</v>
      </c>
      <c r="T16" s="112">
        <f t="shared" si="2"/>
        <v>0.47875000000000001</v>
      </c>
      <c r="U16" s="115" t="s">
        <v>48</v>
      </c>
      <c r="V16" s="106"/>
    </row>
    <row r="17" spans="1:25" ht="15.75" thickBot="1" x14ac:dyDescent="0.3">
      <c r="A17" s="116" t="s">
        <v>50</v>
      </c>
      <c r="B17" s="117">
        <v>42171</v>
      </c>
      <c r="C17" s="118">
        <f>7.5-1.62</f>
        <v>5.88</v>
      </c>
      <c r="D17" s="119">
        <v>0</v>
      </c>
      <c r="E17" s="120">
        <v>0</v>
      </c>
      <c r="F17" s="121" t="s">
        <v>52</v>
      </c>
      <c r="G17" s="122">
        <v>0.21</v>
      </c>
      <c r="H17" s="123">
        <f>AVERAGE(0.37,0.41,0.49,0.47,0.325,0.37,0.315,0.4,0.13)</f>
        <v>0.3644444444444444</v>
      </c>
      <c r="I17" s="124">
        <f>AVERAGE(0.21,0.37,0.41,0.49,0.47,0.325,0.37,0.315,0.4,0.13)</f>
        <v>0.34899999999999998</v>
      </c>
      <c r="J17" s="123">
        <f>C17-G17-L13</f>
        <v>-0.48000000000000043</v>
      </c>
      <c r="K17" s="125">
        <v>10</v>
      </c>
      <c r="L17" s="126">
        <f>C17-G17</f>
        <v>5.67</v>
      </c>
      <c r="M17" s="122">
        <v>0.9</v>
      </c>
      <c r="N17" s="124">
        <f>L17*M17</f>
        <v>5.1029999999999998</v>
      </c>
      <c r="O17" s="127" t="s">
        <v>48</v>
      </c>
      <c r="P17" s="126">
        <f>I17</f>
        <v>0.34899999999999998</v>
      </c>
      <c r="Q17" s="124">
        <v>0.63</v>
      </c>
      <c r="R17" s="128" t="s">
        <v>46</v>
      </c>
      <c r="S17" s="123">
        <f>P17*Q17</f>
        <v>0.21986999999999998</v>
      </c>
      <c r="T17" s="126">
        <f t="shared" si="2"/>
        <v>0.21986999999999998</v>
      </c>
      <c r="U17" s="129" t="s">
        <v>48</v>
      </c>
      <c r="V17" s="120"/>
    </row>
    <row r="18" spans="1:25" s="276" customFormat="1" x14ac:dyDescent="0.25">
      <c r="A18" s="514" t="s">
        <v>54</v>
      </c>
      <c r="B18" s="515">
        <v>42270</v>
      </c>
      <c r="C18" s="516">
        <f>(30/3.2808)-1.76</f>
        <v>7.3841111923920995</v>
      </c>
      <c r="D18" s="517">
        <v>0</v>
      </c>
      <c r="E18" s="518">
        <v>0</v>
      </c>
      <c r="F18" s="519" t="s">
        <v>55</v>
      </c>
      <c r="G18" s="520" t="s">
        <v>48</v>
      </c>
      <c r="H18" s="521" t="s">
        <v>48</v>
      </c>
      <c r="I18" s="521" t="s">
        <v>48</v>
      </c>
      <c r="J18" s="522">
        <f>C18-L8</f>
        <v>0</v>
      </c>
      <c r="K18" s="523">
        <v>1</v>
      </c>
      <c r="L18" s="524">
        <f>C18</f>
        <v>7.3841111923920995</v>
      </c>
      <c r="M18" s="284">
        <f>M19</f>
        <v>0.45280000000000004</v>
      </c>
      <c r="N18" s="525"/>
      <c r="O18" s="521">
        <f>J18*M18</f>
        <v>0</v>
      </c>
      <c r="P18" s="524" t="str">
        <f>G18</f>
        <v>-</v>
      </c>
      <c r="Q18" s="526"/>
      <c r="R18" s="526"/>
      <c r="S18" s="285"/>
      <c r="T18" s="520" t="s">
        <v>56</v>
      </c>
      <c r="U18" s="527">
        <f>O18</f>
        <v>0</v>
      </c>
      <c r="V18" s="518"/>
    </row>
    <row r="19" spans="1:25" s="513" customFormat="1" x14ac:dyDescent="0.25">
      <c r="A19" s="498" t="s">
        <v>57</v>
      </c>
      <c r="B19" s="499">
        <v>42270</v>
      </c>
      <c r="C19" s="500">
        <f>(30/3.2808)-2.75</f>
        <v>6.3941111923920992</v>
      </c>
      <c r="D19" s="501">
        <v>0</v>
      </c>
      <c r="E19" s="502">
        <v>0</v>
      </c>
      <c r="F19" s="503" t="s">
        <v>55</v>
      </c>
      <c r="G19" s="504" t="s">
        <v>48</v>
      </c>
      <c r="H19" s="505" t="s">
        <v>48</v>
      </c>
      <c r="I19" s="505" t="s">
        <v>48</v>
      </c>
      <c r="J19" s="506">
        <f>C19-L9</f>
        <v>-0.65000000000000036</v>
      </c>
      <c r="K19" s="507">
        <v>1</v>
      </c>
      <c r="L19" s="508">
        <f>C19</f>
        <v>6.3941111923920992</v>
      </c>
      <c r="M19" s="509">
        <v>0.45280000000000004</v>
      </c>
      <c r="N19" s="510"/>
      <c r="O19" s="510">
        <f>J19*M19</f>
        <v>-0.29432000000000019</v>
      </c>
      <c r="P19" s="508" t="str">
        <f>G19</f>
        <v>-</v>
      </c>
      <c r="Q19" s="511"/>
      <c r="R19" s="511"/>
      <c r="S19" s="512"/>
      <c r="T19" s="508">
        <f>-T14</f>
        <v>-0.81666666666666643</v>
      </c>
      <c r="U19" s="508">
        <f>O19</f>
        <v>-0.29432000000000019</v>
      </c>
      <c r="V19" s="508" t="e">
        <f>V10+#REF!</f>
        <v>#REF!</v>
      </c>
    </row>
    <row r="20" spans="1:25" ht="15.75" thickBot="1" x14ac:dyDescent="0.3">
      <c r="A20" s="146" t="s">
        <v>58</v>
      </c>
      <c r="B20" s="147">
        <v>42270</v>
      </c>
      <c r="C20" s="148">
        <f>(30/3.2808)-1.9</f>
        <v>7.2441111923920989</v>
      </c>
      <c r="D20" s="149">
        <v>0</v>
      </c>
      <c r="E20" s="150">
        <v>0</v>
      </c>
      <c r="F20" s="151" t="s">
        <v>59</v>
      </c>
      <c r="G20" s="152" t="s">
        <v>48</v>
      </c>
      <c r="H20" s="153" t="s">
        <v>48</v>
      </c>
      <c r="I20" s="153" t="s">
        <v>48</v>
      </c>
      <c r="J20" s="154">
        <f>C20-L10</f>
        <v>0.16999999999999993</v>
      </c>
      <c r="K20" s="155">
        <v>1</v>
      </c>
      <c r="L20" s="156">
        <f>C20</f>
        <v>7.2441111923920989</v>
      </c>
      <c r="M20" s="157" t="s">
        <v>48</v>
      </c>
      <c r="N20" s="154" t="s">
        <v>48</v>
      </c>
      <c r="O20" s="154" t="s">
        <v>48</v>
      </c>
      <c r="P20" s="156">
        <f>C20-C10</f>
        <v>0.16999999999999993</v>
      </c>
      <c r="Q20" s="158">
        <f>Q9</f>
        <v>0.4366666666666667</v>
      </c>
      <c r="R20" s="159" t="s">
        <v>45</v>
      </c>
      <c r="S20" s="160">
        <f>P20*Q20</f>
        <v>7.4233333333333304E-2</v>
      </c>
      <c r="T20" s="156">
        <f>-S20</f>
        <v>-7.4233333333333304E-2</v>
      </c>
      <c r="U20" s="156">
        <f>T20+T15</f>
        <v>0.70784811021702043</v>
      </c>
      <c r="V20" s="156"/>
    </row>
    <row r="21" spans="1:25" x14ac:dyDescent="0.25">
      <c r="A21" s="46" t="s">
        <v>49</v>
      </c>
      <c r="B21" s="161">
        <v>42270</v>
      </c>
      <c r="C21" s="162">
        <f>12-4.74</f>
        <v>7.26</v>
      </c>
      <c r="D21" s="163">
        <v>0</v>
      </c>
      <c r="E21" s="164">
        <v>0</v>
      </c>
      <c r="F21" s="165" t="s">
        <v>19</v>
      </c>
      <c r="G21" s="166" t="s">
        <v>48</v>
      </c>
      <c r="H21" s="167" t="s">
        <v>48</v>
      </c>
      <c r="I21" s="167" t="s">
        <v>48</v>
      </c>
      <c r="J21" s="167" t="s">
        <v>48</v>
      </c>
      <c r="K21" s="168">
        <v>1</v>
      </c>
      <c r="L21" s="169">
        <f>C21</f>
        <v>7.26</v>
      </c>
      <c r="M21" s="170">
        <v>0.9</v>
      </c>
      <c r="N21" s="171">
        <f>L21*M21</f>
        <v>6.5339999999999998</v>
      </c>
      <c r="O21" s="171">
        <f>N21-N12</f>
        <v>-2.4660000000000002</v>
      </c>
      <c r="P21" s="169"/>
      <c r="Q21" s="57"/>
      <c r="R21" s="172"/>
      <c r="S21" s="53"/>
      <c r="T21" s="169">
        <f>O21-T16</f>
        <v>-2.94475</v>
      </c>
      <c r="U21" s="169">
        <f>O21</f>
        <v>-2.4660000000000002</v>
      </c>
      <c r="V21" s="164"/>
    </row>
    <row r="22" spans="1:25" ht="15.75" thickBot="1" x14ac:dyDescent="0.3">
      <c r="A22" s="72" t="s">
        <v>50</v>
      </c>
      <c r="B22" s="173">
        <v>42270</v>
      </c>
      <c r="C22" s="174">
        <f>7.5-4.74</f>
        <v>2.76</v>
      </c>
      <c r="D22" s="175">
        <v>0</v>
      </c>
      <c r="E22" s="176">
        <v>0</v>
      </c>
      <c r="F22" s="177" t="s">
        <v>19</v>
      </c>
      <c r="G22" s="178" t="s">
        <v>48</v>
      </c>
      <c r="H22" s="179" t="s">
        <v>48</v>
      </c>
      <c r="I22" s="179" t="s">
        <v>48</v>
      </c>
      <c r="J22" s="179" t="s">
        <v>48</v>
      </c>
      <c r="K22" s="180">
        <v>1</v>
      </c>
      <c r="L22" s="181">
        <f>C22</f>
        <v>2.76</v>
      </c>
      <c r="M22" s="182">
        <v>0.9</v>
      </c>
      <c r="N22" s="183">
        <f>L22*M22</f>
        <v>2.484</v>
      </c>
      <c r="O22" s="183">
        <f>N22-N13</f>
        <v>-3.0510000000000002</v>
      </c>
      <c r="P22" s="181"/>
      <c r="Q22" s="184"/>
      <c r="R22" s="185"/>
      <c r="S22" s="79"/>
      <c r="T22" s="181">
        <f>O22-T17</f>
        <v>-3.2708699999999999</v>
      </c>
      <c r="U22" s="181">
        <f>O22</f>
        <v>-3.0510000000000002</v>
      </c>
      <c r="V22" s="176"/>
    </row>
    <row r="24" spans="1:25" ht="16.5" thickBot="1" x14ac:dyDescent="0.3">
      <c r="A24" s="1" t="s">
        <v>64</v>
      </c>
    </row>
    <row r="25" spans="1:25" x14ac:dyDescent="0.25">
      <c r="A25" s="217"/>
      <c r="B25" s="218"/>
      <c r="C25" s="717" t="s">
        <v>1</v>
      </c>
      <c r="D25" s="718"/>
      <c r="E25" s="719"/>
      <c r="F25" s="218"/>
      <c r="G25" s="720" t="s">
        <v>2</v>
      </c>
      <c r="H25" s="721"/>
      <c r="I25" s="721"/>
      <c r="J25" s="721"/>
      <c r="K25" s="722"/>
      <c r="L25" s="219"/>
      <c r="M25" s="220"/>
      <c r="N25" s="221" t="s">
        <v>65</v>
      </c>
      <c r="O25" s="222"/>
      <c r="P25" s="223"/>
      <c r="Q25" s="221" t="s">
        <v>66</v>
      </c>
      <c r="R25" s="221"/>
      <c r="S25" s="222"/>
      <c r="T25" s="224" t="s">
        <v>67</v>
      </c>
      <c r="U25" s="221"/>
      <c r="V25" s="221"/>
      <c r="W25" s="221"/>
      <c r="X25" s="221"/>
      <c r="Y25" s="222"/>
    </row>
    <row r="26" spans="1:25" ht="33.75" x14ac:dyDescent="0.25">
      <c r="A26" s="225" t="s">
        <v>8</v>
      </c>
      <c r="B26" s="225" t="s">
        <v>9</v>
      </c>
      <c r="C26" s="226" t="s">
        <v>68</v>
      </c>
      <c r="D26" s="227" t="s">
        <v>69</v>
      </c>
      <c r="E26" s="228" t="s">
        <v>70</v>
      </c>
      <c r="F26" s="225" t="s">
        <v>12</v>
      </c>
      <c r="G26" s="229" t="s">
        <v>71</v>
      </c>
      <c r="H26" s="230"/>
      <c r="I26" s="230" t="s">
        <v>15</v>
      </c>
      <c r="J26" s="230"/>
      <c r="K26" s="231"/>
      <c r="L26" s="232" t="s">
        <v>72</v>
      </c>
      <c r="M26" s="233" t="s">
        <v>18</v>
      </c>
      <c r="N26" s="234" t="s">
        <v>73</v>
      </c>
      <c r="O26" s="235"/>
      <c r="P26" s="233" t="s">
        <v>20</v>
      </c>
      <c r="Q26" s="236" t="s">
        <v>21</v>
      </c>
      <c r="R26" s="234" t="s">
        <v>74</v>
      </c>
      <c r="S26" s="237" t="s">
        <v>75</v>
      </c>
      <c r="T26" s="238" t="s">
        <v>76</v>
      </c>
      <c r="U26" s="239" t="s">
        <v>77</v>
      </c>
      <c r="V26" s="239" t="s">
        <v>78</v>
      </c>
      <c r="W26" s="240" t="s">
        <v>79</v>
      </c>
      <c r="X26" s="240" t="s">
        <v>80</v>
      </c>
      <c r="Y26" s="241" t="s">
        <v>81</v>
      </c>
    </row>
    <row r="27" spans="1:25" x14ac:dyDescent="0.25">
      <c r="A27" s="225" t="s">
        <v>25</v>
      </c>
      <c r="B27" s="225"/>
      <c r="C27" s="226"/>
      <c r="D27" s="227"/>
      <c r="E27" s="228"/>
      <c r="F27" s="242"/>
      <c r="G27" s="229"/>
      <c r="H27" s="230"/>
      <c r="I27" s="230"/>
      <c r="J27" s="230"/>
      <c r="K27" s="231"/>
      <c r="L27" s="225"/>
      <c r="M27" s="233"/>
      <c r="N27" s="243" t="s">
        <v>82</v>
      </c>
      <c r="O27" s="235"/>
      <c r="P27" s="233" t="s">
        <v>29</v>
      </c>
      <c r="Q27" s="244" t="s">
        <v>31</v>
      </c>
      <c r="R27" s="243"/>
      <c r="S27" s="235"/>
      <c r="T27" s="245"/>
      <c r="U27" s="246"/>
      <c r="V27" s="246"/>
      <c r="W27" s="247"/>
      <c r="X27" s="247"/>
      <c r="Y27" s="248"/>
    </row>
    <row r="28" spans="1:25" ht="15.75" thickBot="1" x14ac:dyDescent="0.3">
      <c r="A28" s="249"/>
      <c r="B28" s="249" t="s">
        <v>38</v>
      </c>
      <c r="C28" s="250" t="s">
        <v>39</v>
      </c>
      <c r="D28" s="251" t="s">
        <v>39</v>
      </c>
      <c r="E28" s="252" t="s">
        <v>39</v>
      </c>
      <c r="F28" s="253"/>
      <c r="G28" s="254" t="s">
        <v>39</v>
      </c>
      <c r="H28" s="255"/>
      <c r="I28" s="255" t="s">
        <v>40</v>
      </c>
      <c r="J28" s="255"/>
      <c r="K28" s="256"/>
      <c r="L28" s="249" t="s">
        <v>39</v>
      </c>
      <c r="M28" s="257" t="s">
        <v>83</v>
      </c>
      <c r="N28" s="258" t="s">
        <v>39</v>
      </c>
      <c r="O28" s="259"/>
      <c r="P28" s="257" t="s">
        <v>39</v>
      </c>
      <c r="Q28" s="260" t="s">
        <v>42</v>
      </c>
      <c r="R28" s="258"/>
      <c r="S28" s="259" t="s">
        <v>84</v>
      </c>
      <c r="T28" s="261" t="s">
        <v>85</v>
      </c>
      <c r="U28" s="262" t="s">
        <v>85</v>
      </c>
      <c r="V28" s="262" t="s">
        <v>85</v>
      </c>
      <c r="W28" s="262" t="s">
        <v>85</v>
      </c>
      <c r="X28" s="262" t="s">
        <v>85</v>
      </c>
      <c r="Y28" s="263"/>
    </row>
    <row r="29" spans="1:25" x14ac:dyDescent="0.25">
      <c r="A29" s="528" t="s">
        <v>171</v>
      </c>
      <c r="B29" s="529">
        <v>41872</v>
      </c>
      <c r="C29" s="528">
        <v>9.14</v>
      </c>
      <c r="D29" s="528">
        <v>1.76</v>
      </c>
      <c r="E29" s="528">
        <f>C29-D29</f>
        <v>7.3800000000000008</v>
      </c>
      <c r="F29" s="528" t="s">
        <v>172</v>
      </c>
      <c r="G29" s="528">
        <v>2.2400000000000002</v>
      </c>
      <c r="H29" s="528"/>
      <c r="I29" s="528"/>
      <c r="J29" s="528"/>
      <c r="K29" s="528"/>
      <c r="L29" s="530">
        <f>E29-G29</f>
        <v>5.1400000000000006</v>
      </c>
      <c r="M29" s="528"/>
      <c r="N29" s="528">
        <v>1.62</v>
      </c>
      <c r="O29" s="528"/>
      <c r="P29" s="528">
        <f>G29</f>
        <v>2.2400000000000002</v>
      </c>
      <c r="Q29" s="531">
        <v>0.5</v>
      </c>
      <c r="R29" s="528" t="s">
        <v>45</v>
      </c>
      <c r="S29" s="528"/>
      <c r="T29" s="532"/>
      <c r="U29" s="528"/>
      <c r="V29" s="528"/>
      <c r="W29" s="528" t="s">
        <v>125</v>
      </c>
      <c r="X29" s="528"/>
      <c r="Y29" s="528" t="s">
        <v>198</v>
      </c>
    </row>
    <row r="30" spans="1:25" s="533" customFormat="1" x14ac:dyDescent="0.25">
      <c r="A30" s="535"/>
    </row>
    <row r="31" spans="1:25" s="536" customFormat="1" ht="12.75" x14ac:dyDescent="0.2">
      <c r="A31" s="536" t="s">
        <v>171</v>
      </c>
      <c r="B31" s="537">
        <v>42270</v>
      </c>
      <c r="C31" s="536">
        <v>9.15</v>
      </c>
      <c r="D31" s="536">
        <v>1.34</v>
      </c>
      <c r="E31" s="538">
        <f>C31-D31</f>
        <v>7.8100000000000005</v>
      </c>
      <c r="F31" s="536" t="s">
        <v>173</v>
      </c>
      <c r="G31" s="536" t="s">
        <v>174</v>
      </c>
      <c r="P31" s="538">
        <f>E31-E29</f>
        <v>0.42999999999999972</v>
      </c>
      <c r="Q31" s="531">
        <v>0.5</v>
      </c>
      <c r="R31" s="536" t="s">
        <v>45</v>
      </c>
      <c r="V31" s="538">
        <f>Q31*P31</f>
        <v>0.21499999999999986</v>
      </c>
    </row>
    <row r="32" spans="1:25" s="536" customFormat="1" ht="12.75" x14ac:dyDescent="0.2">
      <c r="A32" s="536" t="s">
        <v>171</v>
      </c>
      <c r="B32" s="537">
        <v>42270</v>
      </c>
      <c r="F32" s="536" t="s">
        <v>154</v>
      </c>
      <c r="G32" s="536">
        <v>0.42</v>
      </c>
      <c r="P32" s="536">
        <f>G32</f>
        <v>0.42</v>
      </c>
      <c r="Q32" s="531">
        <v>0.25</v>
      </c>
      <c r="R32" s="536" t="s">
        <v>45</v>
      </c>
      <c r="X32" s="538">
        <f>P32*Q32</f>
        <v>0.105</v>
      </c>
    </row>
    <row r="33" spans="1:9" ht="15.75" thickBot="1" x14ac:dyDescent="0.3"/>
    <row r="34" spans="1:9" ht="23.25" x14ac:dyDescent="0.25">
      <c r="A34" s="494" t="s">
        <v>156</v>
      </c>
      <c r="B34" s="495"/>
      <c r="C34" s="540" t="s">
        <v>157</v>
      </c>
      <c r="D34" s="541"/>
      <c r="E34" s="470" t="s">
        <v>158</v>
      </c>
      <c r="F34" s="471"/>
      <c r="G34" s="470" t="s">
        <v>159</v>
      </c>
      <c r="H34" s="471"/>
      <c r="I34" s="472" t="s">
        <v>160</v>
      </c>
    </row>
    <row r="35" spans="1:9" ht="26.25" x14ac:dyDescent="0.25">
      <c r="A35" s="496"/>
      <c r="B35" s="497"/>
      <c r="C35" s="473" t="s">
        <v>161</v>
      </c>
      <c r="D35" s="474" t="s">
        <v>162</v>
      </c>
      <c r="E35" s="475">
        <f>B29</f>
        <v>41872</v>
      </c>
      <c r="F35" s="476"/>
      <c r="G35" s="539" t="s">
        <v>175</v>
      </c>
      <c r="H35" s="476" t="s">
        <v>163</v>
      </c>
      <c r="I35" s="478">
        <f>B32</f>
        <v>42270</v>
      </c>
    </row>
    <row r="36" spans="1:9" x14ac:dyDescent="0.25">
      <c r="A36" s="479"/>
      <c r="B36" s="480" t="s">
        <v>164</v>
      </c>
      <c r="C36" s="481" t="s">
        <v>125</v>
      </c>
      <c r="D36" s="482" t="s">
        <v>125</v>
      </c>
      <c r="E36" s="483"/>
      <c r="F36" s="483"/>
      <c r="G36" s="484"/>
      <c r="H36" s="481"/>
      <c r="I36" s="485"/>
    </row>
    <row r="37" spans="1:9" x14ac:dyDescent="0.25">
      <c r="A37" s="479"/>
      <c r="B37" s="480" t="s">
        <v>165</v>
      </c>
      <c r="C37" s="481" t="s">
        <v>125</v>
      </c>
      <c r="D37" s="481"/>
      <c r="E37" s="483"/>
      <c r="F37" s="483"/>
      <c r="G37" s="484"/>
      <c r="H37" s="481"/>
      <c r="I37" s="485"/>
    </row>
    <row r="38" spans="1:9" x14ac:dyDescent="0.25">
      <c r="A38" s="479"/>
      <c r="B38" s="480" t="s">
        <v>166</v>
      </c>
      <c r="C38" s="481">
        <f>V31</f>
        <v>0.21499999999999986</v>
      </c>
      <c r="D38" s="481"/>
      <c r="E38" s="483"/>
      <c r="F38" s="483"/>
      <c r="G38" s="484"/>
      <c r="H38" s="481"/>
      <c r="I38" s="485"/>
    </row>
    <row r="39" spans="1:9" x14ac:dyDescent="0.25">
      <c r="A39" s="479"/>
      <c r="B39" s="486" t="s">
        <v>167</v>
      </c>
      <c r="C39" s="481" t="str">
        <f>Y29</f>
        <v>no field notes; not sure if any new snow on fall trip. Stake not found on spring 2015 visit.</v>
      </c>
      <c r="D39" s="481"/>
      <c r="E39" s="483"/>
      <c r="F39" s="483"/>
      <c r="G39" s="481"/>
      <c r="H39" s="481"/>
      <c r="I39" s="485"/>
    </row>
    <row r="40" spans="1:9" x14ac:dyDescent="0.25">
      <c r="A40" s="479"/>
      <c r="B40" s="487" t="s">
        <v>168</v>
      </c>
      <c r="C40" s="481" t="s">
        <v>125</v>
      </c>
      <c r="D40" s="481"/>
      <c r="E40" s="483"/>
      <c r="F40" s="483"/>
      <c r="G40" s="481"/>
      <c r="H40" s="481"/>
      <c r="I40" s="485"/>
    </row>
    <row r="41" spans="1:9" ht="15.75" thickBot="1" x14ac:dyDescent="0.3">
      <c r="A41" s="488"/>
      <c r="B41" s="489" t="s">
        <v>169</v>
      </c>
      <c r="C41" s="490">
        <f>X32</f>
        <v>0.105</v>
      </c>
      <c r="D41" s="490"/>
      <c r="E41" s="491"/>
      <c r="F41" s="491"/>
      <c r="G41" s="492"/>
      <c r="H41" s="492"/>
      <c r="I41" s="493"/>
    </row>
  </sheetData>
  <mergeCells count="5">
    <mergeCell ref="C25:E25"/>
    <mergeCell ref="G25:K25"/>
    <mergeCell ref="M2:O2"/>
    <mergeCell ref="P2:S2"/>
    <mergeCell ref="D3:E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51E6C-3086-40B3-9E8F-AF18B8292C1E}">
  <dimension ref="A1:Y43"/>
  <sheetViews>
    <sheetView topLeftCell="A13" workbookViewId="0">
      <selection activeCell="A36" sqref="A36:I43"/>
    </sheetView>
  </sheetViews>
  <sheetFormatPr defaultRowHeight="15" x14ac:dyDescent="0.25"/>
  <cols>
    <col min="1" max="1" width="10.28515625" bestFit="1" customWidth="1"/>
    <col min="2" max="2" width="12.85546875" customWidth="1"/>
    <col min="3" max="3" width="11.28515625" customWidth="1"/>
    <col min="4" max="4" width="13.42578125" customWidth="1"/>
    <col min="5" max="6" width="10.7109375" bestFit="1" customWidth="1"/>
    <col min="7" max="7" width="10.140625" bestFit="1" customWidth="1"/>
    <col min="8" max="8" width="6.42578125" customWidth="1"/>
    <col min="9" max="9" width="9.7109375" bestFit="1" customWidth="1"/>
  </cols>
  <sheetData>
    <row r="1" spans="1:22" ht="16.5" thickBot="1" x14ac:dyDescent="0.3">
      <c r="A1" s="1" t="s">
        <v>0</v>
      </c>
    </row>
    <row r="2" spans="1:22" x14ac:dyDescent="0.25">
      <c r="A2" s="2"/>
      <c r="B2" s="3"/>
      <c r="C2" s="545" t="s">
        <v>1</v>
      </c>
      <c r="D2" s="546"/>
      <c r="E2" s="547"/>
      <c r="F2" s="542"/>
      <c r="G2" s="5" t="s">
        <v>2</v>
      </c>
      <c r="H2" s="6"/>
      <c r="I2" s="6"/>
      <c r="J2" s="6"/>
      <c r="K2" s="6"/>
      <c r="L2" s="7" t="s">
        <v>3</v>
      </c>
      <c r="M2" s="727" t="s">
        <v>4</v>
      </c>
      <c r="N2" s="729"/>
      <c r="O2" s="730"/>
      <c r="P2" s="713" t="s">
        <v>5</v>
      </c>
      <c r="Q2" s="731"/>
      <c r="R2" s="731"/>
      <c r="S2" s="732"/>
      <c r="T2" s="8" t="s">
        <v>6</v>
      </c>
      <c r="U2" s="8" t="s">
        <v>7</v>
      </c>
    </row>
    <row r="3" spans="1:22" x14ac:dyDescent="0.25">
      <c r="A3" s="9" t="s">
        <v>8</v>
      </c>
      <c r="B3" s="9" t="s">
        <v>9</v>
      </c>
      <c r="C3" s="10" t="s">
        <v>10</v>
      </c>
      <c r="D3" s="715" t="s">
        <v>11</v>
      </c>
      <c r="E3" s="733"/>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2"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c r="V4" s="32"/>
    </row>
    <row r="5" spans="1:22"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543" t="s">
        <v>42</v>
      </c>
      <c r="R5" s="44" t="s">
        <v>44</v>
      </c>
      <c r="S5" s="42" t="s">
        <v>43</v>
      </c>
      <c r="T5" s="45" t="s">
        <v>43</v>
      </c>
      <c r="U5" s="45" t="s">
        <v>43</v>
      </c>
      <c r="V5" s="32"/>
    </row>
    <row r="6" spans="1:22" x14ac:dyDescent="0.25">
      <c r="A6" s="186" t="s">
        <v>60</v>
      </c>
      <c r="B6" s="187">
        <v>41872</v>
      </c>
      <c r="C6" s="188">
        <f>9-1.57</f>
        <v>7.43</v>
      </c>
      <c r="D6" s="189">
        <v>0</v>
      </c>
      <c r="E6" s="190">
        <v>0</v>
      </c>
      <c r="F6" s="191" t="s">
        <v>61</v>
      </c>
      <c r="G6" s="192">
        <v>2.0499999999999998</v>
      </c>
      <c r="H6" s="193" t="s">
        <v>48</v>
      </c>
      <c r="I6" s="193" t="s">
        <v>48</v>
      </c>
      <c r="J6" s="193"/>
      <c r="K6" s="194">
        <v>1</v>
      </c>
      <c r="L6" s="192">
        <f t="shared" ref="L6:L13" si="0">C6</f>
        <v>7.43</v>
      </c>
      <c r="M6" s="192">
        <f>M19</f>
        <v>0.45280000000000004</v>
      </c>
      <c r="N6" s="195">
        <f t="shared" ref="N6:N13" si="1">L6*M6</f>
        <v>3.3643040000000002</v>
      </c>
      <c r="O6" s="193" t="e">
        <f>N6-#REF!</f>
        <v>#REF!</v>
      </c>
      <c r="P6" s="196">
        <f>G6</f>
        <v>2.0499999999999998</v>
      </c>
      <c r="Q6" s="193">
        <f>Q9</f>
        <v>0.4366666666666667</v>
      </c>
      <c r="R6" s="197" t="s">
        <v>45</v>
      </c>
      <c r="S6" s="195">
        <f>((P6*Q6)-(P6*(1-(Q6/0.9)))*0.07)</f>
        <v>0.82129074074074071</v>
      </c>
      <c r="T6" s="196">
        <f>-S6</f>
        <v>-0.82129074074074071</v>
      </c>
      <c r="U6" s="196" t="e">
        <f>T6+#REF!</f>
        <v>#REF!</v>
      </c>
      <c r="V6" s="190"/>
    </row>
    <row r="7" spans="1:22" x14ac:dyDescent="0.25">
      <c r="A7" s="198" t="s">
        <v>62</v>
      </c>
      <c r="B7" s="199">
        <v>41872</v>
      </c>
      <c r="C7" s="200">
        <f>6-0.63</f>
        <v>5.37</v>
      </c>
      <c r="D7" s="201">
        <v>0</v>
      </c>
      <c r="E7" s="202">
        <v>0</v>
      </c>
      <c r="F7" s="203" t="s">
        <v>59</v>
      </c>
      <c r="G7" s="204">
        <v>2</v>
      </c>
      <c r="H7" s="205" t="s">
        <v>48</v>
      </c>
      <c r="I7" s="205" t="s">
        <v>48</v>
      </c>
      <c r="J7" s="205"/>
      <c r="K7" s="206">
        <v>1</v>
      </c>
      <c r="L7" s="204">
        <f t="shared" si="0"/>
        <v>5.37</v>
      </c>
      <c r="M7" s="204">
        <f>M19</f>
        <v>0.45280000000000004</v>
      </c>
      <c r="N7" s="207">
        <f t="shared" si="1"/>
        <v>2.4315360000000004</v>
      </c>
      <c r="O7" s="205">
        <f>N7-N2</f>
        <v>2.4315360000000004</v>
      </c>
      <c r="P7" s="208">
        <f>G7</f>
        <v>2</v>
      </c>
      <c r="Q7" s="205">
        <f>Q9</f>
        <v>0.4366666666666667</v>
      </c>
      <c r="R7" s="206" t="s">
        <v>45</v>
      </c>
      <c r="S7" s="207">
        <f>((P7*Q7)-(P7*(1-(Q7/0.9)))*0.07)</f>
        <v>0.80125925925925934</v>
      </c>
      <c r="T7" s="208">
        <f>-S7</f>
        <v>-0.80125925925925934</v>
      </c>
      <c r="U7" s="208"/>
      <c r="V7" s="202"/>
    </row>
    <row r="8" spans="1:22" s="559" customFormat="1" x14ac:dyDescent="0.25">
      <c r="A8" s="548" t="s">
        <v>63</v>
      </c>
      <c r="B8" s="549">
        <v>41872</v>
      </c>
      <c r="C8" s="550">
        <f>(30/3.2808)-1.76</f>
        <v>7.3841111923920995</v>
      </c>
      <c r="D8" s="551">
        <v>0</v>
      </c>
      <c r="E8" s="552">
        <v>0</v>
      </c>
      <c r="F8" s="553" t="s">
        <v>59</v>
      </c>
      <c r="G8" s="554">
        <v>2.2400000000000002</v>
      </c>
      <c r="H8" s="555" t="s">
        <v>48</v>
      </c>
      <c r="I8" s="555" t="s">
        <v>48</v>
      </c>
      <c r="J8" s="555"/>
      <c r="K8" s="556">
        <v>1</v>
      </c>
      <c r="L8" s="554">
        <f t="shared" si="0"/>
        <v>7.3841111923920995</v>
      </c>
      <c r="M8" s="554">
        <f>M19</f>
        <v>0.45280000000000004</v>
      </c>
      <c r="N8" s="557">
        <f t="shared" si="1"/>
        <v>3.3435255479151431</v>
      </c>
      <c r="O8" s="555"/>
      <c r="P8" s="558">
        <f>G8</f>
        <v>2.2400000000000002</v>
      </c>
      <c r="Q8" s="555">
        <f>Q9</f>
        <v>0.4366666666666667</v>
      </c>
      <c r="R8" s="556" t="s">
        <v>45</v>
      </c>
      <c r="S8" s="557">
        <f>((P8*Q8)-(P8*(1-(Q8/0.9)))*0.07)</f>
        <v>0.89741037037037052</v>
      </c>
      <c r="T8" s="558">
        <f>-S8</f>
        <v>-0.89741037037037052</v>
      </c>
      <c r="U8" s="558"/>
      <c r="V8" s="552"/>
    </row>
    <row r="9" spans="1:22" x14ac:dyDescent="0.25">
      <c r="A9" s="198" t="s">
        <v>51</v>
      </c>
      <c r="B9" s="199">
        <v>41872</v>
      </c>
      <c r="C9" s="200">
        <f>(30/3.2808)-2.1</f>
        <v>7.0441111923920996</v>
      </c>
      <c r="D9" s="201">
        <v>0</v>
      </c>
      <c r="E9" s="202">
        <v>0</v>
      </c>
      <c r="F9" s="203" t="s">
        <v>59</v>
      </c>
      <c r="G9" s="204">
        <v>2.09</v>
      </c>
      <c r="H9" s="205">
        <f>AVERAGE(2.18,2.05,2.22,2.07,2,2.19,2.05,2.2,2.03)</f>
        <v>2.1100000000000003</v>
      </c>
      <c r="I9" s="205">
        <f>AVERAGE(2.09,2.18,2.05,2.22,2.07,2,2.19,2.05,2.2,2.03)</f>
        <v>2.1079999999999997</v>
      </c>
      <c r="J9" s="205"/>
      <c r="K9" s="206">
        <v>10</v>
      </c>
      <c r="L9" s="204">
        <f t="shared" si="0"/>
        <v>7.0441111923920996</v>
      </c>
      <c r="M9" s="204">
        <f>M19</f>
        <v>0.45280000000000004</v>
      </c>
      <c r="N9" s="207">
        <f t="shared" si="1"/>
        <v>3.1895735479151428</v>
      </c>
      <c r="O9" s="205"/>
      <c r="P9" s="208">
        <f>I9</f>
        <v>2.1079999999999997</v>
      </c>
      <c r="Q9" s="205">
        <v>0.4366666666666667</v>
      </c>
      <c r="R9" s="206" t="s">
        <v>46</v>
      </c>
      <c r="S9" s="207">
        <f>((P9*Q9)-(P9*(1-(Q9/0.9)))*0.07)</f>
        <v>0.8445272592592592</v>
      </c>
      <c r="T9" s="208">
        <f>-S9</f>
        <v>-0.8445272592592592</v>
      </c>
      <c r="U9" s="208"/>
      <c r="V9" s="202"/>
    </row>
    <row r="10" spans="1:22" s="276" customFormat="1" ht="15.75" thickBot="1" x14ac:dyDescent="0.3">
      <c r="A10" s="576" t="s">
        <v>53</v>
      </c>
      <c r="B10" s="577">
        <v>41872</v>
      </c>
      <c r="C10" s="578">
        <f>(30/3.2808)-2.07</f>
        <v>7.074111192392099</v>
      </c>
      <c r="D10" s="579">
        <v>0</v>
      </c>
      <c r="E10" s="580">
        <v>0</v>
      </c>
      <c r="F10" s="581" t="s">
        <v>59</v>
      </c>
      <c r="G10" s="582">
        <v>2.48</v>
      </c>
      <c r="H10" s="583" t="s">
        <v>48</v>
      </c>
      <c r="I10" s="583" t="s">
        <v>48</v>
      </c>
      <c r="J10" s="583">
        <f>C10-G10-L1</f>
        <v>4.5941111923920985</v>
      </c>
      <c r="K10" s="584">
        <v>1</v>
      </c>
      <c r="L10" s="582">
        <f t="shared" si="0"/>
        <v>7.074111192392099</v>
      </c>
      <c r="M10" s="582">
        <f>M19</f>
        <v>0.45280000000000004</v>
      </c>
      <c r="N10" s="585">
        <f t="shared" si="1"/>
        <v>3.2031575479151426</v>
      </c>
      <c r="O10" s="583"/>
      <c r="P10" s="586">
        <f>G10</f>
        <v>2.48</v>
      </c>
      <c r="Q10" s="583">
        <f>Q9</f>
        <v>0.4366666666666667</v>
      </c>
      <c r="R10" s="584" t="s">
        <v>45</v>
      </c>
      <c r="S10" s="585">
        <f>((P10*Q10)-(P10*(1-(Q10/0.9)))*0.07)</f>
        <v>0.99356148148148171</v>
      </c>
      <c r="T10" s="586">
        <f>-S10</f>
        <v>-0.99356148148148171</v>
      </c>
      <c r="U10" s="586"/>
      <c r="V10" s="586"/>
    </row>
    <row r="11" spans="1:22" x14ac:dyDescent="0.25">
      <c r="A11" s="46" t="s">
        <v>47</v>
      </c>
      <c r="B11" s="47">
        <v>41872</v>
      </c>
      <c r="C11" s="48">
        <f>12-0.62</f>
        <v>11.38</v>
      </c>
      <c r="D11" s="49">
        <v>0</v>
      </c>
      <c r="E11" s="50">
        <v>0</v>
      </c>
      <c r="F11" s="51" t="s">
        <v>19</v>
      </c>
      <c r="G11" s="52">
        <v>0</v>
      </c>
      <c r="H11" s="53" t="s">
        <v>48</v>
      </c>
      <c r="I11" s="53" t="s">
        <v>48</v>
      </c>
      <c r="J11" s="54" t="s">
        <v>48</v>
      </c>
      <c r="K11" s="55">
        <v>1</v>
      </c>
      <c r="L11" s="52">
        <f t="shared" si="0"/>
        <v>11.38</v>
      </c>
      <c r="M11" s="52">
        <v>0.9</v>
      </c>
      <c r="N11" s="53">
        <f t="shared" si="1"/>
        <v>10.242000000000001</v>
      </c>
      <c r="O11" s="54" t="s">
        <v>48</v>
      </c>
      <c r="P11" s="56">
        <f>G11</f>
        <v>0</v>
      </c>
      <c r="Q11" s="54" t="s">
        <v>48</v>
      </c>
      <c r="R11" s="55" t="s">
        <v>48</v>
      </c>
      <c r="S11" s="57" t="s">
        <v>48</v>
      </c>
      <c r="T11" s="56" t="str">
        <f t="shared" ref="T11:T17" si="2">S11</f>
        <v>-</v>
      </c>
      <c r="U11" s="58" t="s">
        <v>48</v>
      </c>
      <c r="V11" s="50"/>
    </row>
    <row r="12" spans="1:22" x14ac:dyDescent="0.25">
      <c r="A12" s="59" t="s">
        <v>49</v>
      </c>
      <c r="B12" s="60">
        <v>41872</v>
      </c>
      <c r="C12" s="61">
        <f>12-2</f>
        <v>10</v>
      </c>
      <c r="D12" s="62">
        <v>0</v>
      </c>
      <c r="E12" s="63">
        <v>0</v>
      </c>
      <c r="F12" s="64" t="s">
        <v>19</v>
      </c>
      <c r="G12" s="65">
        <v>0</v>
      </c>
      <c r="H12" s="66" t="s">
        <v>48</v>
      </c>
      <c r="I12" s="66" t="s">
        <v>48</v>
      </c>
      <c r="J12" s="67" t="s">
        <v>48</v>
      </c>
      <c r="K12" s="68">
        <v>1</v>
      </c>
      <c r="L12" s="65">
        <f t="shared" si="0"/>
        <v>10</v>
      </c>
      <c r="M12" s="65">
        <v>0.9</v>
      </c>
      <c r="N12" s="66">
        <f t="shared" si="1"/>
        <v>9</v>
      </c>
      <c r="O12" s="67" t="s">
        <v>48</v>
      </c>
      <c r="P12" s="69">
        <f>G12</f>
        <v>0</v>
      </c>
      <c r="Q12" s="67" t="s">
        <v>48</v>
      </c>
      <c r="R12" s="68" t="s">
        <v>48</v>
      </c>
      <c r="S12" s="70" t="s">
        <v>48</v>
      </c>
      <c r="T12" s="69" t="str">
        <f t="shared" si="2"/>
        <v>-</v>
      </c>
      <c r="U12" s="71" t="s">
        <v>48</v>
      </c>
      <c r="V12" s="63"/>
    </row>
    <row r="13" spans="1:22" ht="15.75" thickBot="1" x14ac:dyDescent="0.3">
      <c r="A13" s="72" t="s">
        <v>50</v>
      </c>
      <c r="B13" s="73">
        <v>41872</v>
      </c>
      <c r="C13" s="74">
        <f>7.5-1.35</f>
        <v>6.15</v>
      </c>
      <c r="D13" s="75">
        <v>0</v>
      </c>
      <c r="E13" s="76">
        <v>0</v>
      </c>
      <c r="F13" s="77" t="s">
        <v>19</v>
      </c>
      <c r="G13" s="78">
        <v>0</v>
      </c>
      <c r="H13" s="79" t="s">
        <v>48</v>
      </c>
      <c r="I13" s="79" t="s">
        <v>48</v>
      </c>
      <c r="J13" s="80" t="s">
        <v>48</v>
      </c>
      <c r="K13" s="81">
        <v>1</v>
      </c>
      <c r="L13" s="78">
        <f t="shared" si="0"/>
        <v>6.15</v>
      </c>
      <c r="M13" s="78">
        <v>0.9</v>
      </c>
      <c r="N13" s="79">
        <f t="shared" si="1"/>
        <v>5.5350000000000001</v>
      </c>
      <c r="O13" s="80" t="s">
        <v>48</v>
      </c>
      <c r="P13" s="82">
        <f>G13</f>
        <v>0</v>
      </c>
      <c r="Q13" s="80" t="s">
        <v>48</v>
      </c>
      <c r="R13" s="81" t="s">
        <v>48</v>
      </c>
      <c r="S13" s="83" t="s">
        <v>48</v>
      </c>
      <c r="T13" s="82" t="str">
        <f t="shared" si="2"/>
        <v>-</v>
      </c>
      <c r="U13" s="84" t="s">
        <v>48</v>
      </c>
      <c r="V13" s="76"/>
    </row>
    <row r="14" spans="1:22" x14ac:dyDescent="0.25">
      <c r="A14" s="102" t="s">
        <v>51</v>
      </c>
      <c r="B14" s="103">
        <v>42171</v>
      </c>
      <c r="C14" s="104">
        <f>(30/3.2808)-0.35</f>
        <v>8.7941111923920996</v>
      </c>
      <c r="D14" s="105">
        <v>0</v>
      </c>
      <c r="E14" s="106">
        <v>0</v>
      </c>
      <c r="F14" s="107" t="s">
        <v>52</v>
      </c>
      <c r="G14" s="108">
        <v>1.95</v>
      </c>
      <c r="H14" s="109">
        <f>AVERAGE(1.9,1.94,2.05,1.98,1.91,2.06,2.12,2.12,2.04)</f>
        <v>2.0133333333333336</v>
      </c>
      <c r="I14" s="110">
        <f>AVERAGE(1.95,1.9,1.94,2.05,1.98,1.91,2.06,2.12,2.12,2.04)</f>
        <v>2.0070000000000001</v>
      </c>
      <c r="J14" s="109">
        <f>C14-G14-L9</f>
        <v>-0.20000000000000018</v>
      </c>
      <c r="K14" s="111">
        <v>10</v>
      </c>
      <c r="L14" s="112">
        <f>L9</f>
        <v>7.0441111923920996</v>
      </c>
      <c r="M14" s="108"/>
      <c r="N14" s="110"/>
      <c r="O14" s="113"/>
      <c r="P14" s="112">
        <f>G14+J14</f>
        <v>1.7499999999999998</v>
      </c>
      <c r="Q14" s="110">
        <v>0.46666666666666662</v>
      </c>
      <c r="R14" s="114" t="s">
        <v>46</v>
      </c>
      <c r="S14" s="109">
        <f>P14*Q14</f>
        <v>0.81666666666666643</v>
      </c>
      <c r="T14" s="112">
        <f>S14</f>
        <v>0.81666666666666643</v>
      </c>
      <c r="U14" s="115" t="s">
        <v>48</v>
      </c>
      <c r="V14" s="106"/>
    </row>
    <row r="15" spans="1:22" s="276" customFormat="1" x14ac:dyDescent="0.25">
      <c r="A15" s="514" t="s">
        <v>53</v>
      </c>
      <c r="B15" s="278">
        <v>42171</v>
      </c>
      <c r="C15" s="279">
        <f>9-0.25</f>
        <v>8.75</v>
      </c>
      <c r="D15" s="280">
        <v>0</v>
      </c>
      <c r="E15" s="281">
        <v>0</v>
      </c>
      <c r="F15" s="282" t="s">
        <v>52</v>
      </c>
      <c r="G15" s="283">
        <v>2.8</v>
      </c>
      <c r="H15" s="285" t="s">
        <v>48</v>
      </c>
      <c r="I15" s="284" t="s">
        <v>48</v>
      </c>
      <c r="J15" s="285">
        <f>C15-G15-L10</f>
        <v>-1.1241111923920988</v>
      </c>
      <c r="K15" s="286">
        <v>1</v>
      </c>
      <c r="L15" s="287">
        <f>L10</f>
        <v>7.074111192392099</v>
      </c>
      <c r="M15" s="283"/>
      <c r="N15" s="284"/>
      <c r="O15" s="587"/>
      <c r="P15" s="287">
        <f>G15+J15</f>
        <v>1.675888807607901</v>
      </c>
      <c r="Q15" s="284">
        <f>Q14</f>
        <v>0.46666666666666662</v>
      </c>
      <c r="R15" s="290" t="s">
        <v>45</v>
      </c>
      <c r="S15" s="285">
        <f>P15*Q15</f>
        <v>0.78208144355035369</v>
      </c>
      <c r="T15" s="287">
        <f t="shared" si="2"/>
        <v>0.78208144355035369</v>
      </c>
      <c r="U15" s="291" t="s">
        <v>48</v>
      </c>
      <c r="V15" s="281"/>
    </row>
    <row r="16" spans="1:22" x14ac:dyDescent="0.25">
      <c r="A16" s="102" t="s">
        <v>49</v>
      </c>
      <c r="B16" s="103">
        <v>42171</v>
      </c>
      <c r="C16" s="104">
        <f>12-1.51</f>
        <v>10.49</v>
      </c>
      <c r="D16" s="105">
        <v>0</v>
      </c>
      <c r="E16" s="106">
        <v>0</v>
      </c>
      <c r="F16" s="107" t="s">
        <v>52</v>
      </c>
      <c r="G16" s="108">
        <v>0.67</v>
      </c>
      <c r="H16" s="109">
        <f>AVERAGE(0.76,0.74,0.73,0.76,0.76,0.92,0.79,0.7,0.83)</f>
        <v>0.77666666666666673</v>
      </c>
      <c r="I16" s="110">
        <f>AVERAGE(0.67,0.76,0.74,0.73,0.76,0.76,0.92,0.79,0.7,0.83)</f>
        <v>0.76600000000000001</v>
      </c>
      <c r="J16" s="109">
        <f>C16-G16-L12</f>
        <v>-0.17999999999999972</v>
      </c>
      <c r="K16" s="111">
        <v>10</v>
      </c>
      <c r="L16" s="112">
        <f>C16-G16</f>
        <v>9.82</v>
      </c>
      <c r="M16" s="108">
        <v>0.9</v>
      </c>
      <c r="N16" s="110">
        <f>L16*M16</f>
        <v>8.838000000000001</v>
      </c>
      <c r="O16" s="113" t="s">
        <v>48</v>
      </c>
      <c r="P16" s="112">
        <f>I16</f>
        <v>0.76600000000000001</v>
      </c>
      <c r="Q16" s="110">
        <v>0.625</v>
      </c>
      <c r="R16" s="114" t="s">
        <v>46</v>
      </c>
      <c r="S16" s="109">
        <f>P16*Q16</f>
        <v>0.47875000000000001</v>
      </c>
      <c r="T16" s="112">
        <f t="shared" si="2"/>
        <v>0.47875000000000001</v>
      </c>
      <c r="U16" s="115" t="s">
        <v>48</v>
      </c>
      <c r="V16" s="106"/>
    </row>
    <row r="17" spans="1:25" ht="15.75" thickBot="1" x14ac:dyDescent="0.3">
      <c r="A17" s="116" t="s">
        <v>50</v>
      </c>
      <c r="B17" s="117">
        <v>42171</v>
      </c>
      <c r="C17" s="118">
        <f>7.5-1.62</f>
        <v>5.88</v>
      </c>
      <c r="D17" s="119">
        <v>0</v>
      </c>
      <c r="E17" s="120">
        <v>0</v>
      </c>
      <c r="F17" s="121" t="s">
        <v>52</v>
      </c>
      <c r="G17" s="122">
        <v>0.21</v>
      </c>
      <c r="H17" s="123">
        <f>AVERAGE(0.37,0.41,0.49,0.47,0.325,0.37,0.315,0.4,0.13)</f>
        <v>0.3644444444444444</v>
      </c>
      <c r="I17" s="124">
        <f>AVERAGE(0.21,0.37,0.41,0.49,0.47,0.325,0.37,0.315,0.4,0.13)</f>
        <v>0.34899999999999998</v>
      </c>
      <c r="J17" s="123">
        <f>C17-G17-L13</f>
        <v>-0.48000000000000043</v>
      </c>
      <c r="K17" s="125">
        <v>10</v>
      </c>
      <c r="L17" s="126">
        <f>C17-G17</f>
        <v>5.67</v>
      </c>
      <c r="M17" s="122">
        <v>0.9</v>
      </c>
      <c r="N17" s="124">
        <f>L17*M17</f>
        <v>5.1029999999999998</v>
      </c>
      <c r="O17" s="127" t="s">
        <v>48</v>
      </c>
      <c r="P17" s="126">
        <f>I17</f>
        <v>0.34899999999999998</v>
      </c>
      <c r="Q17" s="124">
        <v>0.63</v>
      </c>
      <c r="R17" s="128" t="s">
        <v>46</v>
      </c>
      <c r="S17" s="123">
        <f>P17*Q17</f>
        <v>0.21986999999999998</v>
      </c>
      <c r="T17" s="126">
        <f t="shared" si="2"/>
        <v>0.21986999999999998</v>
      </c>
      <c r="U17" s="129" t="s">
        <v>48</v>
      </c>
      <c r="V17" s="120"/>
    </row>
    <row r="18" spans="1:25" s="559" customFormat="1" x14ac:dyDescent="0.25">
      <c r="A18" s="560" t="s">
        <v>54</v>
      </c>
      <c r="B18" s="561">
        <v>42270</v>
      </c>
      <c r="C18" s="562">
        <f>(30/3.2808)-1.76</f>
        <v>7.3841111923920995</v>
      </c>
      <c r="D18" s="563">
        <v>0</v>
      </c>
      <c r="E18" s="564">
        <v>0</v>
      </c>
      <c r="F18" s="565" t="s">
        <v>55</v>
      </c>
      <c r="G18" s="566" t="s">
        <v>48</v>
      </c>
      <c r="H18" s="567" t="s">
        <v>48</v>
      </c>
      <c r="I18" s="567" t="s">
        <v>48</v>
      </c>
      <c r="J18" s="568">
        <f>C18-L8</f>
        <v>0</v>
      </c>
      <c r="K18" s="569">
        <v>1</v>
      </c>
      <c r="L18" s="570">
        <f>C18</f>
        <v>7.3841111923920995</v>
      </c>
      <c r="M18" s="571">
        <f>M19</f>
        <v>0.45280000000000004</v>
      </c>
      <c r="N18" s="572"/>
      <c r="O18" s="567">
        <f>J18*M18</f>
        <v>0</v>
      </c>
      <c r="P18" s="570" t="str">
        <f>G18</f>
        <v>-</v>
      </c>
      <c r="Q18" s="573"/>
      <c r="R18" s="573"/>
      <c r="S18" s="574"/>
      <c r="T18" s="566" t="s">
        <v>56</v>
      </c>
      <c r="U18" s="575">
        <f>O18</f>
        <v>0</v>
      </c>
      <c r="V18" s="564"/>
    </row>
    <row r="19" spans="1:25" x14ac:dyDescent="0.25">
      <c r="A19" s="498" t="s">
        <v>57</v>
      </c>
      <c r="B19" s="499">
        <v>42270</v>
      </c>
      <c r="C19" s="500">
        <f>(30/3.2808)-2.75</f>
        <v>6.3941111923920992</v>
      </c>
      <c r="D19" s="501">
        <v>0</v>
      </c>
      <c r="E19" s="502">
        <v>0</v>
      </c>
      <c r="F19" s="503" t="s">
        <v>55</v>
      </c>
      <c r="G19" s="504" t="s">
        <v>48</v>
      </c>
      <c r="H19" s="505" t="s">
        <v>48</v>
      </c>
      <c r="I19" s="505" t="s">
        <v>48</v>
      </c>
      <c r="J19" s="506">
        <f>C19-L9</f>
        <v>-0.65000000000000036</v>
      </c>
      <c r="K19" s="507">
        <v>1</v>
      </c>
      <c r="L19" s="508">
        <f>C19</f>
        <v>6.3941111923920992</v>
      </c>
      <c r="M19" s="509">
        <v>0.45280000000000004</v>
      </c>
      <c r="N19" s="510"/>
      <c r="O19" s="510">
        <f>J19*M19</f>
        <v>-0.29432000000000019</v>
      </c>
      <c r="P19" s="508" t="str">
        <f>G19</f>
        <v>-</v>
      </c>
      <c r="Q19" s="511"/>
      <c r="R19" s="511"/>
      <c r="S19" s="512"/>
      <c r="T19" s="508">
        <f>-T14</f>
        <v>-0.81666666666666643</v>
      </c>
      <c r="U19" s="508">
        <f>O19</f>
        <v>-0.29432000000000019</v>
      </c>
      <c r="V19" s="508" t="e">
        <f>V10+#REF!</f>
        <v>#REF!</v>
      </c>
      <c r="W19" s="513"/>
      <c r="X19" s="513"/>
      <c r="Y19" s="513"/>
    </row>
    <row r="20" spans="1:25" s="276" customFormat="1" ht="15.75" thickBot="1" x14ac:dyDescent="0.3">
      <c r="A20" s="576" t="s">
        <v>58</v>
      </c>
      <c r="B20" s="588">
        <v>42270</v>
      </c>
      <c r="C20" s="589">
        <f>(30/3.2808)-1.9</f>
        <v>7.2441111923920989</v>
      </c>
      <c r="D20" s="590">
        <v>0</v>
      </c>
      <c r="E20" s="591">
        <v>0</v>
      </c>
      <c r="F20" s="592" t="s">
        <v>59</v>
      </c>
      <c r="G20" s="593" t="s">
        <v>48</v>
      </c>
      <c r="H20" s="594" t="s">
        <v>48</v>
      </c>
      <c r="I20" s="594" t="s">
        <v>48</v>
      </c>
      <c r="J20" s="595">
        <f>C20-L10</f>
        <v>0.16999999999999993</v>
      </c>
      <c r="K20" s="596">
        <v>1</v>
      </c>
      <c r="L20" s="597">
        <f>C20</f>
        <v>7.2441111923920989</v>
      </c>
      <c r="M20" s="583" t="s">
        <v>48</v>
      </c>
      <c r="N20" s="595" t="s">
        <v>48</v>
      </c>
      <c r="O20" s="595" t="s">
        <v>48</v>
      </c>
      <c r="P20" s="597">
        <f>C20-C10</f>
        <v>0.16999999999999993</v>
      </c>
      <c r="Q20" s="598">
        <f>Q9</f>
        <v>0.4366666666666667</v>
      </c>
      <c r="R20" s="599" t="s">
        <v>45</v>
      </c>
      <c r="S20" s="585">
        <f>P20*Q20</f>
        <v>7.4233333333333304E-2</v>
      </c>
      <c r="T20" s="597">
        <f>-S20</f>
        <v>-7.4233333333333304E-2</v>
      </c>
      <c r="U20" s="597">
        <f>T20+T15</f>
        <v>0.70784811021702043</v>
      </c>
      <c r="V20" s="597"/>
    </row>
    <row r="21" spans="1:25" x14ac:dyDescent="0.25">
      <c r="A21" s="46" t="s">
        <v>49</v>
      </c>
      <c r="B21" s="161">
        <v>42270</v>
      </c>
      <c r="C21" s="162">
        <f>12-4.74</f>
        <v>7.26</v>
      </c>
      <c r="D21" s="163">
        <v>0</v>
      </c>
      <c r="E21" s="164">
        <v>0</v>
      </c>
      <c r="F21" s="165" t="s">
        <v>19</v>
      </c>
      <c r="G21" s="166" t="s">
        <v>48</v>
      </c>
      <c r="H21" s="167" t="s">
        <v>48</v>
      </c>
      <c r="I21" s="167" t="s">
        <v>48</v>
      </c>
      <c r="J21" s="167" t="s">
        <v>48</v>
      </c>
      <c r="K21" s="168">
        <v>1</v>
      </c>
      <c r="L21" s="169">
        <f>C21</f>
        <v>7.26</v>
      </c>
      <c r="M21" s="170">
        <v>0.9</v>
      </c>
      <c r="N21" s="171">
        <f>L21*M21</f>
        <v>6.5339999999999998</v>
      </c>
      <c r="O21" s="171">
        <f>N21-N12</f>
        <v>-2.4660000000000002</v>
      </c>
      <c r="P21" s="169"/>
      <c r="Q21" s="57"/>
      <c r="R21" s="172"/>
      <c r="S21" s="53"/>
      <c r="T21" s="169">
        <f>O21-T16</f>
        <v>-2.94475</v>
      </c>
      <c r="U21" s="169">
        <f>O21</f>
        <v>-2.4660000000000002</v>
      </c>
      <c r="V21" s="164"/>
    </row>
    <row r="22" spans="1:25" ht="15.75" thickBot="1" x14ac:dyDescent="0.3">
      <c r="A22" s="72" t="s">
        <v>50</v>
      </c>
      <c r="B22" s="173">
        <v>42270</v>
      </c>
      <c r="C22" s="174">
        <f>7.5-4.74</f>
        <v>2.76</v>
      </c>
      <c r="D22" s="175">
        <v>0</v>
      </c>
      <c r="E22" s="176">
        <v>0</v>
      </c>
      <c r="F22" s="177" t="s">
        <v>19</v>
      </c>
      <c r="G22" s="178" t="s">
        <v>48</v>
      </c>
      <c r="H22" s="179" t="s">
        <v>48</v>
      </c>
      <c r="I22" s="179" t="s">
        <v>48</v>
      </c>
      <c r="J22" s="179" t="s">
        <v>48</v>
      </c>
      <c r="K22" s="180">
        <v>1</v>
      </c>
      <c r="L22" s="181">
        <f>C22</f>
        <v>2.76</v>
      </c>
      <c r="M22" s="182">
        <v>0.9</v>
      </c>
      <c r="N22" s="183">
        <f>L22*M22</f>
        <v>2.484</v>
      </c>
      <c r="O22" s="183">
        <f>N22-N13</f>
        <v>-3.0510000000000002</v>
      </c>
      <c r="P22" s="181"/>
      <c r="Q22" s="184"/>
      <c r="R22" s="185"/>
      <c r="S22" s="79"/>
      <c r="T22" s="181">
        <f>O22-T17</f>
        <v>-3.2708699999999999</v>
      </c>
      <c r="U22" s="181">
        <f>O22</f>
        <v>-3.0510000000000002</v>
      </c>
      <c r="V22" s="176"/>
    </row>
    <row r="24" spans="1:25" ht="16.5" thickBot="1" x14ac:dyDescent="0.3">
      <c r="A24" s="1" t="s">
        <v>64</v>
      </c>
    </row>
    <row r="25" spans="1:25" x14ac:dyDescent="0.25">
      <c r="A25" s="217"/>
      <c r="B25" s="218"/>
      <c r="C25" s="717" t="s">
        <v>1</v>
      </c>
      <c r="D25" s="718"/>
      <c r="E25" s="719"/>
      <c r="F25" s="218"/>
      <c r="G25" s="720" t="s">
        <v>2</v>
      </c>
      <c r="H25" s="721"/>
      <c r="I25" s="721"/>
      <c r="J25" s="721"/>
      <c r="K25" s="722"/>
      <c r="L25" s="219"/>
      <c r="M25" s="220"/>
      <c r="N25" s="221" t="s">
        <v>65</v>
      </c>
      <c r="O25" s="222"/>
      <c r="P25" s="223"/>
      <c r="Q25" s="221" t="s">
        <v>66</v>
      </c>
      <c r="R25" s="221"/>
      <c r="S25" s="222"/>
      <c r="T25" s="224" t="s">
        <v>67</v>
      </c>
      <c r="U25" s="221"/>
      <c r="V25" s="221"/>
      <c r="W25" s="221"/>
      <c r="X25" s="221"/>
      <c r="Y25" s="222"/>
    </row>
    <row r="26" spans="1:25" ht="33.75" x14ac:dyDescent="0.25">
      <c r="A26" s="225" t="s">
        <v>8</v>
      </c>
      <c r="B26" s="225" t="s">
        <v>9</v>
      </c>
      <c r="C26" s="226" t="s">
        <v>68</v>
      </c>
      <c r="D26" s="227" t="s">
        <v>69</v>
      </c>
      <c r="E26" s="228" t="s">
        <v>70</v>
      </c>
      <c r="F26" s="225" t="s">
        <v>12</v>
      </c>
      <c r="G26" s="229" t="s">
        <v>71</v>
      </c>
      <c r="H26" s="230"/>
      <c r="I26" s="230" t="s">
        <v>15</v>
      </c>
      <c r="J26" s="230"/>
      <c r="K26" s="231"/>
      <c r="L26" s="232" t="s">
        <v>72</v>
      </c>
      <c r="M26" s="233" t="s">
        <v>18</v>
      </c>
      <c r="N26" s="234" t="s">
        <v>73</v>
      </c>
      <c r="O26" s="235"/>
      <c r="P26" s="233" t="s">
        <v>20</v>
      </c>
      <c r="Q26" s="236" t="s">
        <v>21</v>
      </c>
      <c r="R26" s="234" t="s">
        <v>74</v>
      </c>
      <c r="S26" s="237" t="s">
        <v>75</v>
      </c>
      <c r="T26" s="238" t="s">
        <v>76</v>
      </c>
      <c r="U26" s="239" t="s">
        <v>77</v>
      </c>
      <c r="V26" s="239" t="s">
        <v>78</v>
      </c>
      <c r="W26" s="240" t="s">
        <v>79</v>
      </c>
      <c r="X26" s="240" t="s">
        <v>80</v>
      </c>
      <c r="Y26" s="241" t="s">
        <v>81</v>
      </c>
    </row>
    <row r="27" spans="1:25" x14ac:dyDescent="0.25">
      <c r="A27" s="225" t="s">
        <v>25</v>
      </c>
      <c r="B27" s="225"/>
      <c r="C27" s="226"/>
      <c r="D27" s="227"/>
      <c r="E27" s="228"/>
      <c r="F27" s="242"/>
      <c r="G27" s="229"/>
      <c r="H27" s="230"/>
      <c r="I27" s="230"/>
      <c r="J27" s="230"/>
      <c r="K27" s="231"/>
      <c r="L27" s="225"/>
      <c r="M27" s="233"/>
      <c r="N27" s="243" t="s">
        <v>82</v>
      </c>
      <c r="O27" s="235"/>
      <c r="P27" s="233" t="s">
        <v>29</v>
      </c>
      <c r="Q27" s="244" t="s">
        <v>31</v>
      </c>
      <c r="R27" s="243"/>
      <c r="S27" s="235"/>
      <c r="T27" s="245"/>
      <c r="U27" s="246"/>
      <c r="V27" s="246"/>
      <c r="W27" s="247"/>
      <c r="X27" s="247"/>
      <c r="Y27" s="248"/>
    </row>
    <row r="28" spans="1:25" ht="15.75" thickBot="1" x14ac:dyDescent="0.3">
      <c r="A28" s="249"/>
      <c r="B28" s="249" t="s">
        <v>38</v>
      </c>
      <c r="C28" s="250" t="s">
        <v>39</v>
      </c>
      <c r="D28" s="251" t="s">
        <v>39</v>
      </c>
      <c r="E28" s="252" t="s">
        <v>39</v>
      </c>
      <c r="F28" s="253"/>
      <c r="G28" s="254" t="s">
        <v>39</v>
      </c>
      <c r="H28" s="255"/>
      <c r="I28" s="255" t="s">
        <v>40</v>
      </c>
      <c r="J28" s="255"/>
      <c r="K28" s="256"/>
      <c r="L28" s="249" t="s">
        <v>39</v>
      </c>
      <c r="M28" s="257" t="s">
        <v>83</v>
      </c>
      <c r="N28" s="258" t="s">
        <v>39</v>
      </c>
      <c r="O28" s="259"/>
      <c r="P28" s="257" t="s">
        <v>39</v>
      </c>
      <c r="Q28" s="260" t="s">
        <v>42</v>
      </c>
      <c r="R28" s="258"/>
      <c r="S28" s="259" t="s">
        <v>84</v>
      </c>
      <c r="T28" s="261" t="s">
        <v>85</v>
      </c>
      <c r="U28" s="262" t="s">
        <v>85</v>
      </c>
      <c r="V28" s="262" t="s">
        <v>85</v>
      </c>
      <c r="W28" s="262" t="s">
        <v>85</v>
      </c>
      <c r="X28" s="262" t="s">
        <v>85</v>
      </c>
      <c r="Y28" s="263"/>
    </row>
    <row r="29" spans="1:25" x14ac:dyDescent="0.25">
      <c r="A29" s="600" t="s">
        <v>176</v>
      </c>
      <c r="B29" s="544">
        <v>41872</v>
      </c>
      <c r="C29" s="530">
        <v>9.15</v>
      </c>
      <c r="D29" s="530">
        <v>2.0699999999999998</v>
      </c>
      <c r="E29" s="530">
        <f>C29-D29</f>
        <v>7.08</v>
      </c>
      <c r="F29" s="306" t="s">
        <v>87</v>
      </c>
      <c r="G29" s="307">
        <v>2.48</v>
      </c>
      <c r="H29" s="306"/>
      <c r="I29" s="307"/>
      <c r="J29" s="306"/>
      <c r="K29" s="306"/>
      <c r="L29" s="307">
        <f>E29-G29</f>
        <v>4.5999999999999996</v>
      </c>
      <c r="M29" s="306"/>
      <c r="N29" s="308"/>
      <c r="O29" s="306"/>
      <c r="P29" s="308">
        <v>1.69</v>
      </c>
      <c r="Q29" s="601">
        <v>0.5</v>
      </c>
      <c r="R29" s="306" t="s">
        <v>45</v>
      </c>
      <c r="S29" s="306"/>
      <c r="T29" s="307"/>
      <c r="U29" s="306"/>
      <c r="V29" s="307"/>
      <c r="W29" s="306"/>
      <c r="X29" s="309" t="s">
        <v>125</v>
      </c>
      <c r="Y29" s="310" t="s">
        <v>177</v>
      </c>
    </row>
    <row r="30" spans="1:25" s="311" customFormat="1" x14ac:dyDescent="0.25">
      <c r="A30" s="311" t="s">
        <v>176</v>
      </c>
      <c r="B30" s="312">
        <v>42171</v>
      </c>
      <c r="C30" s="311">
        <v>9.15</v>
      </c>
      <c r="D30" s="311">
        <v>0.25</v>
      </c>
      <c r="E30" s="398">
        <f>C30-D30</f>
        <v>8.9</v>
      </c>
      <c r="F30" s="311" t="s">
        <v>90</v>
      </c>
      <c r="G30" s="311" t="str">
        <f>'Probe13-K17C_2015.06.16'!B4</f>
        <v>2.8 (but likely bad; not used)</v>
      </c>
      <c r="L30" s="311">
        <f>E29</f>
        <v>7.08</v>
      </c>
      <c r="M30" s="398"/>
      <c r="P30" s="311">
        <f>E30-L30</f>
        <v>1.8200000000000003</v>
      </c>
      <c r="Q30" s="602">
        <v>0.47</v>
      </c>
      <c r="R30" s="311" t="s">
        <v>46</v>
      </c>
      <c r="S30" s="398">
        <f>'FedSampCores13-K17B_2015.06.06'!O12</f>
        <v>0.96816143497757867</v>
      </c>
      <c r="U30" s="398">
        <f>P30*Q30</f>
        <v>0.85540000000000005</v>
      </c>
      <c r="Y30" s="311" t="s">
        <v>182</v>
      </c>
    </row>
    <row r="31" spans="1:25" s="402" customFormat="1" x14ac:dyDescent="0.25">
      <c r="A31" s="400" t="s">
        <v>176</v>
      </c>
      <c r="B31" s="401">
        <v>42270</v>
      </c>
      <c r="C31" s="402">
        <v>9.15</v>
      </c>
      <c r="D31" s="402">
        <v>1.9</v>
      </c>
      <c r="E31" s="402">
        <f>C31-D31</f>
        <v>7.25</v>
      </c>
      <c r="F31" s="402" t="s">
        <v>87</v>
      </c>
      <c r="P31" s="402">
        <f>E31-E29</f>
        <v>0.16999999999999993</v>
      </c>
      <c r="Q31" s="601">
        <v>0.5</v>
      </c>
      <c r="V31" s="468">
        <f>P31*Q31</f>
        <v>8.4999999999999964E-2</v>
      </c>
    </row>
    <row r="32" spans="1:25" s="402" customFormat="1" x14ac:dyDescent="0.25">
      <c r="A32" s="400" t="s">
        <v>176</v>
      </c>
      <c r="B32" s="401">
        <v>42270</v>
      </c>
      <c r="F32" s="402" t="s">
        <v>154</v>
      </c>
      <c r="G32" s="402">
        <v>0.4</v>
      </c>
      <c r="P32" s="402">
        <f>G32</f>
        <v>0.4</v>
      </c>
      <c r="Q32" s="603">
        <v>0.25</v>
      </c>
      <c r="R32" s="402" t="s">
        <v>45</v>
      </c>
      <c r="T32" s="468">
        <f>V31-U30</f>
        <v>-0.77040000000000008</v>
      </c>
      <c r="X32" s="468">
        <f>P32*Q32</f>
        <v>0.1</v>
      </c>
    </row>
    <row r="35" spans="1:9" ht="15.75" thickBot="1" x14ac:dyDescent="0.3"/>
    <row r="36" spans="1:9" ht="23.25" x14ac:dyDescent="0.25">
      <c r="A36" s="494" t="s">
        <v>156</v>
      </c>
      <c r="B36" s="495"/>
      <c r="C36" s="540" t="s">
        <v>157</v>
      </c>
      <c r="D36" s="541"/>
      <c r="E36" s="470" t="s">
        <v>158</v>
      </c>
      <c r="F36" s="471"/>
      <c r="G36" s="470" t="s">
        <v>159</v>
      </c>
      <c r="H36" s="471"/>
      <c r="I36" s="472" t="s">
        <v>160</v>
      </c>
    </row>
    <row r="37" spans="1:9" ht="26.25" x14ac:dyDescent="0.25">
      <c r="A37" s="496"/>
      <c r="B37" s="497"/>
      <c r="C37" s="473" t="s">
        <v>161</v>
      </c>
      <c r="D37" s="474" t="s">
        <v>162</v>
      </c>
      <c r="E37" s="475">
        <f>B29</f>
        <v>41872</v>
      </c>
      <c r="F37" s="476"/>
      <c r="G37" s="539">
        <f>B30</f>
        <v>42171</v>
      </c>
      <c r="H37" s="476" t="s">
        <v>163</v>
      </c>
      <c r="I37" s="478">
        <f>B31</f>
        <v>42270</v>
      </c>
    </row>
    <row r="38" spans="1:9" x14ac:dyDescent="0.25">
      <c r="A38" s="479"/>
      <c r="B38" s="480" t="s">
        <v>164</v>
      </c>
      <c r="C38" s="481">
        <f>U30</f>
        <v>0.85540000000000005</v>
      </c>
      <c r="D38" s="482" t="s">
        <v>125</v>
      </c>
      <c r="E38" s="483"/>
      <c r="F38" s="483"/>
      <c r="G38" s="484"/>
      <c r="H38" s="481"/>
      <c r="I38" s="485"/>
    </row>
    <row r="39" spans="1:9" x14ac:dyDescent="0.25">
      <c r="A39" s="479"/>
      <c r="B39" s="480" t="s">
        <v>165</v>
      </c>
      <c r="C39" s="481">
        <f>T32</f>
        <v>-0.77040000000000008</v>
      </c>
      <c r="D39" s="481"/>
      <c r="E39" s="483"/>
      <c r="F39" s="483"/>
      <c r="G39" s="484"/>
      <c r="H39" s="481"/>
      <c r="I39" s="485"/>
    </row>
    <row r="40" spans="1:9" x14ac:dyDescent="0.25">
      <c r="A40" s="479"/>
      <c r="B40" s="480" t="s">
        <v>166</v>
      </c>
      <c r="C40" s="481">
        <f>V31</f>
        <v>8.4999999999999964E-2</v>
      </c>
      <c r="D40" s="481"/>
      <c r="E40" s="483"/>
      <c r="F40" s="483"/>
      <c r="G40" s="484"/>
      <c r="H40" s="481"/>
      <c r="I40" s="485"/>
    </row>
    <row r="41" spans="1:9" x14ac:dyDescent="0.25">
      <c r="A41" s="479"/>
      <c r="B41" s="486" t="s">
        <v>167</v>
      </c>
      <c r="C41" s="481">
        <v>0</v>
      </c>
      <c r="D41" s="481"/>
      <c r="E41" s="483"/>
      <c r="F41" s="483"/>
      <c r="G41" s="481"/>
      <c r="H41" s="481"/>
      <c r="I41" s="485"/>
    </row>
    <row r="42" spans="1:9" x14ac:dyDescent="0.25">
      <c r="A42" s="479"/>
      <c r="B42" s="487" t="s">
        <v>168</v>
      </c>
      <c r="C42" s="481" t="s">
        <v>125</v>
      </c>
      <c r="D42" s="481"/>
      <c r="E42" s="483"/>
      <c r="F42" s="483"/>
      <c r="G42" s="481"/>
      <c r="H42" s="481"/>
      <c r="I42" s="485"/>
    </row>
    <row r="43" spans="1:9" ht="15.75" thickBot="1" x14ac:dyDescent="0.3">
      <c r="A43" s="488"/>
      <c r="B43" s="489" t="s">
        <v>169</v>
      </c>
      <c r="C43" s="490">
        <f>X32</f>
        <v>0.1</v>
      </c>
      <c r="D43" s="490"/>
      <c r="E43" s="491"/>
      <c r="F43" s="491"/>
      <c r="G43" s="492"/>
      <c r="H43" s="492"/>
      <c r="I43" s="493"/>
    </row>
  </sheetData>
  <mergeCells count="5">
    <mergeCell ref="M2:O2"/>
    <mergeCell ref="P2:S2"/>
    <mergeCell ref="D3:E3"/>
    <mergeCell ref="C25:E25"/>
    <mergeCell ref="G25:K2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4E16-0120-45E0-8C52-4477C3F6494E}">
  <dimension ref="A1:Y23"/>
  <sheetViews>
    <sheetView tabSelected="1" zoomScale="80" zoomScaleNormal="80" workbookViewId="0">
      <selection activeCell="G30" sqref="G30"/>
    </sheetView>
  </sheetViews>
  <sheetFormatPr defaultRowHeight="15" x14ac:dyDescent="0.25"/>
  <cols>
    <col min="1" max="1" width="10.28515625" bestFit="1" customWidth="1"/>
    <col min="2" max="2" width="12.85546875" customWidth="1"/>
    <col min="3" max="3" width="11.28515625" customWidth="1"/>
    <col min="4" max="4" width="13.42578125" customWidth="1"/>
    <col min="5" max="6" width="10.7109375" bestFit="1" customWidth="1"/>
    <col min="7" max="7" width="10.140625" bestFit="1" customWidth="1"/>
    <col min="8" max="8" width="6.42578125" customWidth="1"/>
    <col min="9" max="9" width="9.7109375" bestFit="1" customWidth="1"/>
    <col min="25" max="25" width="57" bestFit="1" customWidth="1"/>
  </cols>
  <sheetData>
    <row r="1" spans="1:25" ht="16.5" thickBot="1" x14ac:dyDescent="0.3">
      <c r="A1" s="1" t="s">
        <v>0</v>
      </c>
    </row>
    <row r="2" spans="1:25" x14ac:dyDescent="0.25">
      <c r="A2" s="2"/>
      <c r="B2" s="3"/>
      <c r="C2" s="545" t="s">
        <v>1</v>
      </c>
      <c r="D2" s="546"/>
      <c r="E2" s="547"/>
      <c r="F2" s="542"/>
      <c r="G2" s="5" t="s">
        <v>2</v>
      </c>
      <c r="H2" s="6"/>
      <c r="I2" s="6"/>
      <c r="J2" s="6"/>
      <c r="K2" s="6"/>
      <c r="L2" s="7" t="s">
        <v>3</v>
      </c>
      <c r="M2" s="727" t="s">
        <v>4</v>
      </c>
      <c r="N2" s="729"/>
      <c r="O2" s="730"/>
      <c r="P2" s="713" t="s">
        <v>5</v>
      </c>
      <c r="Q2" s="731"/>
      <c r="R2" s="731"/>
      <c r="S2" s="732"/>
      <c r="T2" s="8" t="s">
        <v>6</v>
      </c>
      <c r="U2" s="8" t="s">
        <v>7</v>
      </c>
    </row>
    <row r="3" spans="1:25" x14ac:dyDescent="0.25">
      <c r="A3" s="9" t="s">
        <v>8</v>
      </c>
      <c r="B3" s="9" t="s">
        <v>9</v>
      </c>
      <c r="C3" s="10" t="s">
        <v>10</v>
      </c>
      <c r="D3" s="715" t="s">
        <v>11</v>
      </c>
      <c r="E3" s="733"/>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5"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row>
    <row r="5" spans="1:25"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543" t="s">
        <v>42</v>
      </c>
      <c r="R5" s="44" t="s">
        <v>44</v>
      </c>
      <c r="S5" s="42" t="s">
        <v>43</v>
      </c>
      <c r="T5" s="45" t="s">
        <v>43</v>
      </c>
      <c r="U5" s="45" t="s">
        <v>43</v>
      </c>
    </row>
    <row r="6" spans="1:25" ht="15.75" x14ac:dyDescent="0.25">
      <c r="V6" s="1" t="s">
        <v>199</v>
      </c>
    </row>
    <row r="9" spans="1:25" ht="16.5" thickBot="1" x14ac:dyDescent="0.3">
      <c r="A9" s="1" t="s">
        <v>64</v>
      </c>
    </row>
    <row r="10" spans="1:25" x14ac:dyDescent="0.25">
      <c r="A10" s="217"/>
      <c r="B10" s="218"/>
      <c r="C10" s="717" t="s">
        <v>1</v>
      </c>
      <c r="D10" s="718"/>
      <c r="E10" s="719"/>
      <c r="F10" s="218"/>
      <c r="G10" s="720" t="s">
        <v>2</v>
      </c>
      <c r="H10" s="721"/>
      <c r="I10" s="721"/>
      <c r="J10" s="721"/>
      <c r="K10" s="722"/>
      <c r="L10" s="219"/>
      <c r="M10" s="220"/>
      <c r="N10" s="221" t="s">
        <v>65</v>
      </c>
      <c r="O10" s="222"/>
      <c r="P10" s="223"/>
      <c r="Q10" s="221" t="s">
        <v>66</v>
      </c>
      <c r="R10" s="221"/>
      <c r="S10" s="222"/>
      <c r="T10" s="224" t="s">
        <v>67</v>
      </c>
      <c r="U10" s="221"/>
      <c r="V10" s="221"/>
      <c r="W10" s="221"/>
      <c r="X10" s="221"/>
      <c r="Y10" s="222"/>
    </row>
    <row r="11" spans="1:25" ht="33.75" x14ac:dyDescent="0.25">
      <c r="A11" s="225" t="s">
        <v>8</v>
      </c>
      <c r="B11" s="225" t="s">
        <v>9</v>
      </c>
      <c r="C11" s="226" t="s">
        <v>68</v>
      </c>
      <c r="D11" s="227" t="s">
        <v>69</v>
      </c>
      <c r="E11" s="228" t="s">
        <v>70</v>
      </c>
      <c r="F11" s="225" t="s">
        <v>12</v>
      </c>
      <c r="G11" s="229" t="s">
        <v>71</v>
      </c>
      <c r="H11" s="230"/>
      <c r="I11" s="230" t="s">
        <v>15</v>
      </c>
      <c r="J11" s="230"/>
      <c r="K11" s="231"/>
      <c r="L11" s="232" t="s">
        <v>72</v>
      </c>
      <c r="M11" s="233" t="s">
        <v>18</v>
      </c>
      <c r="N11" s="234" t="s">
        <v>73</v>
      </c>
      <c r="O11" s="235"/>
      <c r="P11" s="233" t="s">
        <v>20</v>
      </c>
      <c r="Q11" s="236" t="s">
        <v>21</v>
      </c>
      <c r="R11" s="234" t="s">
        <v>74</v>
      </c>
      <c r="S11" s="237" t="s">
        <v>75</v>
      </c>
      <c r="T11" s="238" t="s">
        <v>76</v>
      </c>
      <c r="U11" s="239" t="s">
        <v>77</v>
      </c>
      <c r="V11" s="239" t="s">
        <v>78</v>
      </c>
      <c r="W11" s="240" t="s">
        <v>79</v>
      </c>
      <c r="X11" s="240" t="s">
        <v>80</v>
      </c>
      <c r="Y11" s="241" t="s">
        <v>81</v>
      </c>
    </row>
    <row r="12" spans="1:25" x14ac:dyDescent="0.25">
      <c r="A12" s="225" t="s">
        <v>25</v>
      </c>
      <c r="B12" s="225"/>
      <c r="C12" s="226"/>
      <c r="D12" s="227"/>
      <c r="E12" s="228"/>
      <c r="F12" s="242"/>
      <c r="G12" s="229"/>
      <c r="H12" s="230"/>
      <c r="I12" s="230"/>
      <c r="J12" s="230"/>
      <c r="K12" s="231"/>
      <c r="L12" s="225"/>
      <c r="M12" s="233"/>
      <c r="N12" s="243" t="s">
        <v>82</v>
      </c>
      <c r="O12" s="235"/>
      <c r="P12" s="233" t="s">
        <v>29</v>
      </c>
      <c r="Q12" s="244" t="s">
        <v>31</v>
      </c>
      <c r="R12" s="243"/>
      <c r="S12" s="235"/>
      <c r="T12" s="245"/>
      <c r="U12" s="246"/>
      <c r="V12" s="246"/>
      <c r="W12" s="247"/>
      <c r="X12" s="247"/>
      <c r="Y12" s="248"/>
    </row>
    <row r="13" spans="1:25" ht="15.75" thickBot="1" x14ac:dyDescent="0.3">
      <c r="A13" s="249"/>
      <c r="B13" s="249" t="s">
        <v>38</v>
      </c>
      <c r="C13" s="250" t="s">
        <v>39</v>
      </c>
      <c r="D13" s="251" t="s">
        <v>39</v>
      </c>
      <c r="E13" s="252" t="s">
        <v>39</v>
      </c>
      <c r="F13" s="253"/>
      <c r="G13" s="254" t="s">
        <v>39</v>
      </c>
      <c r="H13" s="255"/>
      <c r="I13" s="255" t="s">
        <v>40</v>
      </c>
      <c r="J13" s="255"/>
      <c r="K13" s="256"/>
      <c r="L13" s="249" t="s">
        <v>39</v>
      </c>
      <c r="M13" s="257" t="s">
        <v>83</v>
      </c>
      <c r="N13" s="258" t="s">
        <v>39</v>
      </c>
      <c r="O13" s="259"/>
      <c r="P13" s="257" t="s">
        <v>39</v>
      </c>
      <c r="Q13" s="260" t="s">
        <v>42</v>
      </c>
      <c r="R13" s="258"/>
      <c r="S13" s="259" t="s">
        <v>84</v>
      </c>
      <c r="T13" s="261" t="s">
        <v>85</v>
      </c>
      <c r="U13" s="262" t="s">
        <v>85</v>
      </c>
      <c r="V13" s="262" t="s">
        <v>85</v>
      </c>
      <c r="W13" s="262" t="s">
        <v>85</v>
      </c>
      <c r="X13" s="262" t="s">
        <v>85</v>
      </c>
      <c r="Y13" s="263"/>
    </row>
    <row r="14" spans="1:25" s="709" customFormat="1" ht="45" x14ac:dyDescent="0.25">
      <c r="A14" s="708"/>
      <c r="B14" s="712">
        <v>42005</v>
      </c>
      <c r="T14" s="710">
        <f>V14-U14</f>
        <v>-0.85744035302774535</v>
      </c>
      <c r="U14" s="710">
        <f>AVERAGE(K17B!U30,K17C!U30)</f>
        <v>0.89793724191663404</v>
      </c>
      <c r="V14" s="710">
        <f>AVERAGE(K17A!V31,K17B!V31,K17C!V31)</f>
        <v>4.0496888888888721E-2</v>
      </c>
      <c r="W14" s="710" t="s">
        <v>125</v>
      </c>
      <c r="X14" s="709" t="s">
        <v>125</v>
      </c>
      <c r="Y14" s="711" t="s">
        <v>200</v>
      </c>
    </row>
    <row r="15" spans="1:25" ht="15.75" thickBot="1" x14ac:dyDescent="0.3"/>
    <row r="16" spans="1:25" ht="23.25" x14ac:dyDescent="0.25">
      <c r="A16" s="494" t="s">
        <v>156</v>
      </c>
      <c r="B16" s="495"/>
      <c r="C16" s="540" t="s">
        <v>157</v>
      </c>
      <c r="D16" s="541"/>
      <c r="E16" s="470" t="s">
        <v>158</v>
      </c>
      <c r="F16" s="471"/>
      <c r="G16" s="470" t="s">
        <v>159</v>
      </c>
      <c r="H16" s="471"/>
      <c r="I16" s="472" t="s">
        <v>160</v>
      </c>
    </row>
    <row r="17" spans="1:9" ht="26.25" x14ac:dyDescent="0.25">
      <c r="A17" s="496"/>
      <c r="B17" s="497"/>
      <c r="C17" s="473" t="s">
        <v>161</v>
      </c>
      <c r="D17" s="474" t="s">
        <v>162</v>
      </c>
      <c r="E17" s="475"/>
      <c r="F17" s="476"/>
      <c r="G17" s="539"/>
      <c r="H17" s="476" t="s">
        <v>163</v>
      </c>
      <c r="I17" s="478"/>
    </row>
    <row r="18" spans="1:9" x14ac:dyDescent="0.25">
      <c r="A18" s="479"/>
      <c r="B18" s="480" t="s">
        <v>164</v>
      </c>
      <c r="C18" s="481" t="s">
        <v>125</v>
      </c>
      <c r="D18" s="482" t="s">
        <v>125</v>
      </c>
      <c r="E18" s="483"/>
      <c r="F18" s="483"/>
      <c r="G18" s="484"/>
      <c r="H18" s="481"/>
      <c r="I18" s="485"/>
    </row>
    <row r="19" spans="1:9" x14ac:dyDescent="0.25">
      <c r="A19" s="479"/>
      <c r="B19" s="480" t="s">
        <v>165</v>
      </c>
      <c r="C19" s="481" t="s">
        <v>125</v>
      </c>
      <c r="D19" s="481"/>
      <c r="E19" s="483"/>
      <c r="F19" s="483"/>
      <c r="G19" s="484"/>
      <c r="H19" s="481"/>
      <c r="I19" s="485"/>
    </row>
    <row r="20" spans="1:9" x14ac:dyDescent="0.25">
      <c r="A20" s="479"/>
      <c r="B20" s="480" t="s">
        <v>166</v>
      </c>
      <c r="C20" s="481" t="s">
        <v>125</v>
      </c>
      <c r="D20" s="481"/>
      <c r="E20" s="483"/>
      <c r="F20" s="483"/>
      <c r="G20" s="484"/>
      <c r="H20" s="481"/>
      <c r="I20" s="485"/>
    </row>
    <row r="21" spans="1:9" x14ac:dyDescent="0.25">
      <c r="A21" s="479"/>
      <c r="B21" s="486" t="s">
        <v>167</v>
      </c>
      <c r="C21" s="481" t="s">
        <v>125</v>
      </c>
      <c r="D21" s="481"/>
      <c r="E21" s="483"/>
      <c r="F21" s="483"/>
      <c r="G21" s="481"/>
      <c r="H21" s="481"/>
      <c r="I21" s="485"/>
    </row>
    <row r="22" spans="1:9" x14ac:dyDescent="0.25">
      <c r="A22" s="479"/>
      <c r="B22" s="487" t="s">
        <v>168</v>
      </c>
      <c r="C22" s="481" t="s">
        <v>125</v>
      </c>
      <c r="D22" s="481"/>
      <c r="E22" s="483"/>
      <c r="F22" s="483"/>
      <c r="G22" s="481"/>
      <c r="H22" s="481"/>
      <c r="I22" s="485"/>
    </row>
    <row r="23" spans="1:9" ht="15.75" thickBot="1" x14ac:dyDescent="0.3">
      <c r="A23" s="488"/>
      <c r="B23" s="489" t="s">
        <v>169</v>
      </c>
      <c r="C23" s="490" t="s">
        <v>125</v>
      </c>
      <c r="D23" s="490"/>
      <c r="E23" s="491"/>
      <c r="F23" s="491"/>
      <c r="G23" s="492"/>
      <c r="H23" s="492"/>
      <c r="I23" s="493"/>
    </row>
  </sheetData>
  <mergeCells count="5">
    <mergeCell ref="M2:O2"/>
    <mergeCell ref="P2:S2"/>
    <mergeCell ref="D3:E3"/>
    <mergeCell ref="C10:E10"/>
    <mergeCell ref="G10:K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F650-92D3-463B-8D0C-C75C6EB9F9C1}">
  <dimension ref="A1:Y45"/>
  <sheetViews>
    <sheetView workbookViewId="0">
      <selection activeCell="A2" sqref="A2:XFD2"/>
    </sheetView>
  </sheetViews>
  <sheetFormatPr defaultRowHeight="15" x14ac:dyDescent="0.25"/>
  <cols>
    <col min="1" max="1" width="16.42578125" customWidth="1"/>
    <col min="2" max="2" width="12.85546875" customWidth="1"/>
    <col min="3" max="3" width="11.28515625" customWidth="1"/>
    <col min="4" max="4" width="13.42578125" customWidth="1"/>
    <col min="5" max="6" width="10.7109375" bestFit="1" customWidth="1"/>
    <col min="7" max="7" width="10.140625" bestFit="1" customWidth="1"/>
    <col min="8" max="8" width="6.42578125" customWidth="1"/>
    <col min="9" max="9" width="9.7109375" bestFit="1" customWidth="1"/>
    <col min="21" max="21" width="9.5703125" bestFit="1" customWidth="1"/>
  </cols>
  <sheetData>
    <row r="1" spans="1:22" ht="16.5" thickBot="1" x14ac:dyDescent="0.3">
      <c r="A1" s="1" t="s">
        <v>0</v>
      </c>
    </row>
    <row r="2" spans="1:22" x14ac:dyDescent="0.25">
      <c r="A2" s="2"/>
      <c r="B2" s="3"/>
      <c r="C2" s="545" t="s">
        <v>1</v>
      </c>
      <c r="D2" s="546"/>
      <c r="E2" s="547"/>
      <c r="F2" s="542"/>
      <c r="G2" s="5" t="s">
        <v>2</v>
      </c>
      <c r="H2" s="6"/>
      <c r="I2" s="6"/>
      <c r="J2" s="6"/>
      <c r="K2" s="6"/>
      <c r="L2" s="7" t="s">
        <v>3</v>
      </c>
      <c r="M2" s="727" t="s">
        <v>4</v>
      </c>
      <c r="N2" s="729"/>
      <c r="O2" s="730"/>
      <c r="P2" s="713" t="s">
        <v>5</v>
      </c>
      <c r="Q2" s="731"/>
      <c r="R2" s="731"/>
      <c r="S2" s="732"/>
      <c r="T2" s="8" t="s">
        <v>6</v>
      </c>
      <c r="U2" s="8" t="s">
        <v>7</v>
      </c>
    </row>
    <row r="3" spans="1:22" x14ac:dyDescent="0.25">
      <c r="A3" s="9" t="s">
        <v>8</v>
      </c>
      <c r="B3" s="9" t="s">
        <v>9</v>
      </c>
      <c r="C3" s="10" t="s">
        <v>10</v>
      </c>
      <c r="D3" s="715" t="s">
        <v>11</v>
      </c>
      <c r="E3" s="733"/>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2"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c r="V4" s="32"/>
    </row>
    <row r="5" spans="1:22"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543" t="s">
        <v>42</v>
      </c>
      <c r="R5" s="44" t="s">
        <v>44</v>
      </c>
      <c r="S5" s="42" t="s">
        <v>43</v>
      </c>
      <c r="T5" s="45" t="s">
        <v>43</v>
      </c>
      <c r="U5" s="45" t="s">
        <v>43</v>
      </c>
      <c r="V5" s="32"/>
    </row>
    <row r="6" spans="1:22" x14ac:dyDescent="0.25">
      <c r="A6" s="186" t="s">
        <v>60</v>
      </c>
      <c r="B6" s="187">
        <v>41872</v>
      </c>
      <c r="C6" s="188">
        <f>9-1.57</f>
        <v>7.43</v>
      </c>
      <c r="D6" s="189">
        <v>0</v>
      </c>
      <c r="E6" s="190">
        <v>0</v>
      </c>
      <c r="F6" s="191" t="s">
        <v>61</v>
      </c>
      <c r="G6" s="192">
        <v>2.0499999999999998</v>
      </c>
      <c r="H6" s="193" t="s">
        <v>48</v>
      </c>
      <c r="I6" s="193" t="s">
        <v>48</v>
      </c>
      <c r="J6" s="193"/>
      <c r="K6" s="194">
        <v>1</v>
      </c>
      <c r="L6" s="192">
        <f t="shared" ref="L6:L13" si="0">C6</f>
        <v>7.43</v>
      </c>
      <c r="M6" s="192">
        <f>M19</f>
        <v>0.45280000000000004</v>
      </c>
      <c r="N6" s="195">
        <f t="shared" ref="N6:N13" si="1">L6*M6</f>
        <v>3.3643040000000002</v>
      </c>
      <c r="O6" s="193" t="e">
        <f>N6-#REF!</f>
        <v>#REF!</v>
      </c>
      <c r="P6" s="196">
        <f>G6</f>
        <v>2.0499999999999998</v>
      </c>
      <c r="Q6" s="193">
        <f>Q9</f>
        <v>0.4366666666666667</v>
      </c>
      <c r="R6" s="197" t="s">
        <v>45</v>
      </c>
      <c r="S6" s="195">
        <f>((P6*Q6)-(P6*(1-(Q6/0.9)))*0.07)</f>
        <v>0.82129074074074071</v>
      </c>
      <c r="T6" s="196">
        <f>-S6</f>
        <v>-0.82129074074074071</v>
      </c>
      <c r="U6" s="196" t="e">
        <f>T6+#REF!</f>
        <v>#REF!</v>
      </c>
      <c r="V6" s="190"/>
    </row>
    <row r="7" spans="1:22" x14ac:dyDescent="0.25">
      <c r="A7" s="198" t="s">
        <v>62</v>
      </c>
      <c r="B7" s="199">
        <v>41872</v>
      </c>
      <c r="C7" s="200">
        <f>6-0.63</f>
        <v>5.37</v>
      </c>
      <c r="D7" s="201">
        <v>0</v>
      </c>
      <c r="E7" s="202">
        <v>0</v>
      </c>
      <c r="F7" s="203" t="s">
        <v>59</v>
      </c>
      <c r="G7" s="204">
        <v>2</v>
      </c>
      <c r="H7" s="205" t="s">
        <v>48</v>
      </c>
      <c r="I7" s="205" t="s">
        <v>48</v>
      </c>
      <c r="J7" s="205"/>
      <c r="K7" s="206">
        <v>1</v>
      </c>
      <c r="L7" s="204">
        <f t="shared" si="0"/>
        <v>5.37</v>
      </c>
      <c r="M7" s="204">
        <f>M19</f>
        <v>0.45280000000000004</v>
      </c>
      <c r="N7" s="207">
        <f t="shared" si="1"/>
        <v>2.4315360000000004</v>
      </c>
      <c r="O7" s="205">
        <f>N7-N2</f>
        <v>2.4315360000000004</v>
      </c>
      <c r="P7" s="208">
        <f>G7</f>
        <v>2</v>
      </c>
      <c r="Q7" s="205">
        <f>Q9</f>
        <v>0.4366666666666667</v>
      </c>
      <c r="R7" s="206" t="s">
        <v>45</v>
      </c>
      <c r="S7" s="207">
        <f>((P7*Q7)-(P7*(1-(Q7/0.9)))*0.07)</f>
        <v>0.80125925925925934</v>
      </c>
      <c r="T7" s="208">
        <f>-S7</f>
        <v>-0.80125925925925934</v>
      </c>
      <c r="U7" s="208"/>
      <c r="V7" s="202"/>
    </row>
    <row r="8" spans="1:22" x14ac:dyDescent="0.25">
      <c r="A8" s="548" t="s">
        <v>63</v>
      </c>
      <c r="B8" s="549">
        <v>41872</v>
      </c>
      <c r="C8" s="550">
        <f>(30/3.2808)-1.76</f>
        <v>7.3841111923920995</v>
      </c>
      <c r="D8" s="551">
        <v>0</v>
      </c>
      <c r="E8" s="552">
        <v>0</v>
      </c>
      <c r="F8" s="553" t="s">
        <v>59</v>
      </c>
      <c r="G8" s="554">
        <v>2.2400000000000002</v>
      </c>
      <c r="H8" s="555" t="s">
        <v>48</v>
      </c>
      <c r="I8" s="555" t="s">
        <v>48</v>
      </c>
      <c r="J8" s="555"/>
      <c r="K8" s="556">
        <v>1</v>
      </c>
      <c r="L8" s="554">
        <f t="shared" si="0"/>
        <v>7.3841111923920995</v>
      </c>
      <c r="M8" s="554">
        <f>M19</f>
        <v>0.45280000000000004</v>
      </c>
      <c r="N8" s="557">
        <f t="shared" si="1"/>
        <v>3.3435255479151431</v>
      </c>
      <c r="O8" s="555"/>
      <c r="P8" s="558">
        <f>G8</f>
        <v>2.2400000000000002</v>
      </c>
      <c r="Q8" s="555">
        <f>Q9</f>
        <v>0.4366666666666667</v>
      </c>
      <c r="R8" s="556" t="s">
        <v>45</v>
      </c>
      <c r="S8" s="557">
        <f>((P8*Q8)-(P8*(1-(Q8/0.9)))*0.07)</f>
        <v>0.89741037037037052</v>
      </c>
      <c r="T8" s="558">
        <f>-S8</f>
        <v>-0.89741037037037052</v>
      </c>
      <c r="U8" s="558"/>
      <c r="V8" s="552"/>
    </row>
    <row r="9" spans="1:22" x14ac:dyDescent="0.25">
      <c r="A9" s="198" t="s">
        <v>51</v>
      </c>
      <c r="B9" s="199">
        <v>41872</v>
      </c>
      <c r="C9" s="200">
        <f>(30/3.2808)-2.1</f>
        <v>7.0441111923920996</v>
      </c>
      <c r="D9" s="201">
        <v>0</v>
      </c>
      <c r="E9" s="202">
        <v>0</v>
      </c>
      <c r="F9" s="203" t="s">
        <v>59</v>
      </c>
      <c r="G9" s="204">
        <v>2.09</v>
      </c>
      <c r="H9" s="205">
        <f>AVERAGE(2.18,2.05,2.22,2.07,2,2.19,2.05,2.2,2.03)</f>
        <v>2.1100000000000003</v>
      </c>
      <c r="I9" s="205">
        <f>AVERAGE(2.09,2.18,2.05,2.22,2.07,2,2.19,2.05,2.2,2.03)</f>
        <v>2.1079999999999997</v>
      </c>
      <c r="J9" s="205"/>
      <c r="K9" s="206">
        <v>10</v>
      </c>
      <c r="L9" s="204">
        <f t="shared" si="0"/>
        <v>7.0441111923920996</v>
      </c>
      <c r="M9" s="204">
        <f>M19</f>
        <v>0.45280000000000004</v>
      </c>
      <c r="N9" s="207">
        <f t="shared" si="1"/>
        <v>3.1895735479151428</v>
      </c>
      <c r="O9" s="205"/>
      <c r="P9" s="208">
        <f>I9</f>
        <v>2.1079999999999997</v>
      </c>
      <c r="Q9" s="205">
        <v>0.4366666666666667</v>
      </c>
      <c r="R9" s="206" t="s">
        <v>46</v>
      </c>
      <c r="S9" s="207">
        <f>((P9*Q9)-(P9*(1-(Q9/0.9)))*0.07)</f>
        <v>0.8445272592592592</v>
      </c>
      <c r="T9" s="208">
        <f>-S9</f>
        <v>-0.8445272592592592</v>
      </c>
      <c r="U9" s="208"/>
      <c r="V9" s="202"/>
    </row>
    <row r="10" spans="1:22" s="615" customFormat="1" ht="15.75" thickBot="1" x14ac:dyDescent="0.3">
      <c r="A10" s="604" t="s">
        <v>53</v>
      </c>
      <c r="B10" s="605">
        <v>41872</v>
      </c>
      <c r="C10" s="606">
        <f>(30/3.2808)-2.07</f>
        <v>7.074111192392099</v>
      </c>
      <c r="D10" s="607">
        <v>0</v>
      </c>
      <c r="E10" s="608">
        <v>0</v>
      </c>
      <c r="F10" s="609" t="s">
        <v>59</v>
      </c>
      <c r="G10" s="610">
        <v>2.48</v>
      </c>
      <c r="H10" s="611" t="s">
        <v>48</v>
      </c>
      <c r="I10" s="611" t="s">
        <v>48</v>
      </c>
      <c r="J10" s="611">
        <f>C10-G10-L1</f>
        <v>4.5941111923920985</v>
      </c>
      <c r="K10" s="612">
        <v>1</v>
      </c>
      <c r="L10" s="610">
        <f t="shared" si="0"/>
        <v>7.074111192392099</v>
      </c>
      <c r="M10" s="610">
        <f>M19</f>
        <v>0.45280000000000004</v>
      </c>
      <c r="N10" s="613">
        <f t="shared" si="1"/>
        <v>3.2031575479151426</v>
      </c>
      <c r="O10" s="611"/>
      <c r="P10" s="614">
        <f>G10</f>
        <v>2.48</v>
      </c>
      <c r="Q10" s="611">
        <f>Q9</f>
        <v>0.4366666666666667</v>
      </c>
      <c r="R10" s="612" t="s">
        <v>45</v>
      </c>
      <c r="S10" s="613">
        <f>((P10*Q10)-(P10*(1-(Q10/0.9)))*0.07)</f>
        <v>0.99356148148148171</v>
      </c>
      <c r="T10" s="614">
        <f>-S10</f>
        <v>-0.99356148148148171</v>
      </c>
      <c r="U10" s="614"/>
      <c r="V10" s="614"/>
    </row>
    <row r="11" spans="1:22" s="673" customFormat="1" x14ac:dyDescent="0.25">
      <c r="A11" s="660" t="s">
        <v>47</v>
      </c>
      <c r="B11" s="661">
        <v>41872</v>
      </c>
      <c r="C11" s="662">
        <f>12-0.62</f>
        <v>11.38</v>
      </c>
      <c r="D11" s="663">
        <v>0</v>
      </c>
      <c r="E11" s="664">
        <v>0</v>
      </c>
      <c r="F11" s="665" t="s">
        <v>19</v>
      </c>
      <c r="G11" s="666">
        <v>0</v>
      </c>
      <c r="H11" s="667" t="s">
        <v>48</v>
      </c>
      <c r="I11" s="667" t="s">
        <v>48</v>
      </c>
      <c r="J11" s="668" t="s">
        <v>48</v>
      </c>
      <c r="K11" s="669">
        <v>1</v>
      </c>
      <c r="L11" s="666">
        <f t="shared" si="0"/>
        <v>11.38</v>
      </c>
      <c r="M11" s="666">
        <v>0.9</v>
      </c>
      <c r="N11" s="667">
        <f t="shared" si="1"/>
        <v>10.242000000000001</v>
      </c>
      <c r="O11" s="668" t="s">
        <v>48</v>
      </c>
      <c r="P11" s="670">
        <f>G11</f>
        <v>0</v>
      </c>
      <c r="Q11" s="668" t="s">
        <v>48</v>
      </c>
      <c r="R11" s="669" t="s">
        <v>48</v>
      </c>
      <c r="S11" s="671" t="s">
        <v>48</v>
      </c>
      <c r="T11" s="670" t="str">
        <f t="shared" ref="T11:T17" si="2">S11</f>
        <v>-</v>
      </c>
      <c r="U11" s="672" t="s">
        <v>48</v>
      </c>
      <c r="V11" s="664"/>
    </row>
    <row r="12" spans="1:22" s="642" customFormat="1" x14ac:dyDescent="0.25">
      <c r="A12" s="643" t="s">
        <v>49</v>
      </c>
      <c r="B12" s="644">
        <v>41872</v>
      </c>
      <c r="C12" s="645">
        <f>12-2</f>
        <v>10</v>
      </c>
      <c r="D12" s="646">
        <v>0</v>
      </c>
      <c r="E12" s="647">
        <v>0</v>
      </c>
      <c r="F12" s="648" t="s">
        <v>19</v>
      </c>
      <c r="G12" s="649">
        <v>0</v>
      </c>
      <c r="H12" s="650" t="s">
        <v>48</v>
      </c>
      <c r="I12" s="650" t="s">
        <v>48</v>
      </c>
      <c r="J12" s="654" t="s">
        <v>48</v>
      </c>
      <c r="K12" s="652">
        <v>1</v>
      </c>
      <c r="L12" s="649">
        <f t="shared" si="0"/>
        <v>10</v>
      </c>
      <c r="M12" s="649">
        <v>0.9</v>
      </c>
      <c r="N12" s="650">
        <f t="shared" si="1"/>
        <v>9</v>
      </c>
      <c r="O12" s="654" t="s">
        <v>48</v>
      </c>
      <c r="P12" s="653">
        <f>G12</f>
        <v>0</v>
      </c>
      <c r="Q12" s="654" t="s">
        <v>48</v>
      </c>
      <c r="R12" s="652" t="s">
        <v>48</v>
      </c>
      <c r="S12" s="651" t="s">
        <v>48</v>
      </c>
      <c r="T12" s="653" t="str">
        <f t="shared" si="2"/>
        <v>-</v>
      </c>
      <c r="U12" s="655" t="s">
        <v>48</v>
      </c>
      <c r="V12" s="647"/>
    </row>
    <row r="13" spans="1:22" ht="15.75" thickBot="1" x14ac:dyDescent="0.3">
      <c r="A13" s="72" t="s">
        <v>50</v>
      </c>
      <c r="B13" s="73">
        <v>41872</v>
      </c>
      <c r="C13" s="74">
        <f>7.5-1.35</f>
        <v>6.15</v>
      </c>
      <c r="D13" s="75">
        <v>0</v>
      </c>
      <c r="E13" s="76">
        <v>0</v>
      </c>
      <c r="F13" s="77" t="s">
        <v>19</v>
      </c>
      <c r="G13" s="78">
        <v>0</v>
      </c>
      <c r="H13" s="79" t="s">
        <v>48</v>
      </c>
      <c r="I13" s="79" t="s">
        <v>48</v>
      </c>
      <c r="J13" s="80" t="s">
        <v>48</v>
      </c>
      <c r="K13" s="81">
        <v>1</v>
      </c>
      <c r="L13" s="78">
        <f t="shared" si="0"/>
        <v>6.15</v>
      </c>
      <c r="M13" s="78">
        <v>0.9</v>
      </c>
      <c r="N13" s="79">
        <f t="shared" si="1"/>
        <v>5.5350000000000001</v>
      </c>
      <c r="O13" s="80" t="s">
        <v>48</v>
      </c>
      <c r="P13" s="82">
        <f>G13</f>
        <v>0</v>
      </c>
      <c r="Q13" s="80" t="s">
        <v>48</v>
      </c>
      <c r="R13" s="81" t="s">
        <v>48</v>
      </c>
      <c r="S13" s="83" t="s">
        <v>48</v>
      </c>
      <c r="T13" s="82" t="str">
        <f t="shared" si="2"/>
        <v>-</v>
      </c>
      <c r="U13" s="84" t="s">
        <v>48</v>
      </c>
      <c r="V13" s="76"/>
    </row>
    <row r="14" spans="1:22" x14ac:dyDescent="0.25">
      <c r="A14" s="102" t="s">
        <v>51</v>
      </c>
      <c r="B14" s="103">
        <v>42171</v>
      </c>
      <c r="C14" s="104">
        <f>(30/3.2808)-0.35</f>
        <v>8.7941111923920996</v>
      </c>
      <c r="D14" s="105">
        <v>0</v>
      </c>
      <c r="E14" s="106">
        <v>0</v>
      </c>
      <c r="F14" s="107" t="s">
        <v>52</v>
      </c>
      <c r="G14" s="108">
        <v>1.95</v>
      </c>
      <c r="H14" s="109">
        <f>AVERAGE(1.9,1.94,2.05,1.98,1.91,2.06,2.12,2.12,2.04)</f>
        <v>2.0133333333333336</v>
      </c>
      <c r="I14" s="110">
        <f>AVERAGE(1.95,1.9,1.94,2.05,1.98,1.91,2.06,2.12,2.12,2.04)</f>
        <v>2.0070000000000001</v>
      </c>
      <c r="J14" s="109">
        <f>C14-G14-L9</f>
        <v>-0.20000000000000018</v>
      </c>
      <c r="K14" s="111">
        <v>10</v>
      </c>
      <c r="L14" s="112">
        <f>L9</f>
        <v>7.0441111923920996</v>
      </c>
      <c r="M14" s="108"/>
      <c r="N14" s="110"/>
      <c r="O14" s="113"/>
      <c r="P14" s="112">
        <f>G14+J14</f>
        <v>1.7499999999999998</v>
      </c>
      <c r="Q14" s="110">
        <v>0.46666666666666662</v>
      </c>
      <c r="R14" s="114" t="s">
        <v>46</v>
      </c>
      <c r="S14" s="109">
        <f>P14*Q14</f>
        <v>0.81666666666666643</v>
      </c>
      <c r="T14" s="112">
        <f>S14</f>
        <v>0.81666666666666643</v>
      </c>
      <c r="U14" s="115" t="s">
        <v>48</v>
      </c>
      <c r="V14" s="106"/>
    </row>
    <row r="15" spans="1:22" s="615" customFormat="1" x14ac:dyDescent="0.25">
      <c r="A15" s="616" t="s">
        <v>53</v>
      </c>
      <c r="B15" s="617">
        <v>42171</v>
      </c>
      <c r="C15" s="618">
        <f>9-0.25</f>
        <v>8.75</v>
      </c>
      <c r="D15" s="619">
        <v>0</v>
      </c>
      <c r="E15" s="620">
        <v>0</v>
      </c>
      <c r="F15" s="621" t="s">
        <v>52</v>
      </c>
      <c r="G15" s="622">
        <v>2.8</v>
      </c>
      <c r="H15" s="623" t="s">
        <v>48</v>
      </c>
      <c r="I15" s="624" t="s">
        <v>48</v>
      </c>
      <c r="J15" s="623">
        <f>C15-G15-L10</f>
        <v>-1.1241111923920988</v>
      </c>
      <c r="K15" s="625">
        <v>1</v>
      </c>
      <c r="L15" s="626">
        <f>L10</f>
        <v>7.074111192392099</v>
      </c>
      <c r="M15" s="622"/>
      <c r="N15" s="624"/>
      <c r="O15" s="627"/>
      <c r="P15" s="626">
        <f>G15+J15</f>
        <v>1.675888807607901</v>
      </c>
      <c r="Q15" s="624">
        <f>Q14</f>
        <v>0.46666666666666662</v>
      </c>
      <c r="R15" s="628" t="s">
        <v>45</v>
      </c>
      <c r="S15" s="623">
        <f>P15*Q15</f>
        <v>0.78208144355035369</v>
      </c>
      <c r="T15" s="626">
        <f t="shared" si="2"/>
        <v>0.78208144355035369</v>
      </c>
      <c r="U15" s="629" t="s">
        <v>48</v>
      </c>
      <c r="V15" s="620"/>
    </row>
    <row r="16" spans="1:22" s="642" customFormat="1" x14ac:dyDescent="0.25">
      <c r="A16" s="643" t="s">
        <v>49</v>
      </c>
      <c r="B16" s="644">
        <v>42171</v>
      </c>
      <c r="C16" s="645">
        <f>12-1.51</f>
        <v>10.49</v>
      </c>
      <c r="D16" s="646">
        <v>0</v>
      </c>
      <c r="E16" s="647">
        <v>0</v>
      </c>
      <c r="F16" s="648" t="s">
        <v>52</v>
      </c>
      <c r="G16" s="649">
        <v>0.67</v>
      </c>
      <c r="H16" s="650">
        <f>AVERAGE(0.76,0.74,0.73,0.76,0.76,0.92,0.79,0.7,0.83)</f>
        <v>0.77666666666666673</v>
      </c>
      <c r="I16" s="650">
        <f>AVERAGE(0.67,0.76,0.74,0.73,0.76,0.76,0.92,0.79,0.7,0.83)</f>
        <v>0.76600000000000001</v>
      </c>
      <c r="J16" s="651">
        <f>C16-G16-L12</f>
        <v>-0.17999999999999972</v>
      </c>
      <c r="K16" s="652">
        <v>10</v>
      </c>
      <c r="L16" s="649">
        <f>C16-G16</f>
        <v>9.82</v>
      </c>
      <c r="M16" s="649">
        <v>0.9</v>
      </c>
      <c r="N16" s="650">
        <f>L16*M16</f>
        <v>8.838000000000001</v>
      </c>
      <c r="O16" s="654" t="s">
        <v>48</v>
      </c>
      <c r="P16" s="653">
        <f>I16</f>
        <v>0.76600000000000001</v>
      </c>
      <c r="Q16" s="654">
        <v>0.625</v>
      </c>
      <c r="R16" s="652" t="s">
        <v>46</v>
      </c>
      <c r="S16" s="651">
        <f>P16*Q16</f>
        <v>0.47875000000000001</v>
      </c>
      <c r="T16" s="653">
        <f t="shared" si="2"/>
        <v>0.47875000000000001</v>
      </c>
      <c r="U16" s="655" t="s">
        <v>48</v>
      </c>
      <c r="V16" s="647"/>
    </row>
    <row r="17" spans="1:25" ht="15.75" thickBot="1" x14ac:dyDescent="0.3">
      <c r="A17" s="116" t="s">
        <v>50</v>
      </c>
      <c r="B17" s="117">
        <v>42171</v>
      </c>
      <c r="C17" s="118">
        <f>7.5-1.62</f>
        <v>5.88</v>
      </c>
      <c r="D17" s="119">
        <v>0</v>
      </c>
      <c r="E17" s="120">
        <v>0</v>
      </c>
      <c r="F17" s="121" t="s">
        <v>52</v>
      </c>
      <c r="G17" s="122">
        <v>0.21</v>
      </c>
      <c r="H17" s="123">
        <f>AVERAGE(0.37,0.41,0.49,0.47,0.325,0.37,0.315,0.4,0.13)</f>
        <v>0.3644444444444444</v>
      </c>
      <c r="I17" s="124">
        <f>AVERAGE(0.21,0.37,0.41,0.49,0.47,0.325,0.37,0.315,0.4,0.13)</f>
        <v>0.34899999999999998</v>
      </c>
      <c r="J17" s="123">
        <f>C17-G17-L13</f>
        <v>-0.48000000000000043</v>
      </c>
      <c r="K17" s="125">
        <v>10</v>
      </c>
      <c r="L17" s="126">
        <f>C17-G17</f>
        <v>5.67</v>
      </c>
      <c r="M17" s="122">
        <v>0.9</v>
      </c>
      <c r="N17" s="124">
        <f>L17*M17</f>
        <v>5.1029999999999998</v>
      </c>
      <c r="O17" s="127" t="s">
        <v>48</v>
      </c>
      <c r="P17" s="126">
        <f>I17</f>
        <v>0.34899999999999998</v>
      </c>
      <c r="Q17" s="124">
        <v>0.63</v>
      </c>
      <c r="R17" s="128" t="s">
        <v>46</v>
      </c>
      <c r="S17" s="123">
        <f>P17*Q17</f>
        <v>0.21986999999999998</v>
      </c>
      <c r="T17" s="126">
        <f t="shared" si="2"/>
        <v>0.21986999999999998</v>
      </c>
      <c r="U17" s="129" t="s">
        <v>48</v>
      </c>
      <c r="V17" s="120"/>
    </row>
    <row r="18" spans="1:25" x14ac:dyDescent="0.25">
      <c r="A18" s="560" t="s">
        <v>54</v>
      </c>
      <c r="B18" s="561">
        <v>42270</v>
      </c>
      <c r="C18" s="562">
        <f>(30/3.2808)-1.76</f>
        <v>7.3841111923920995</v>
      </c>
      <c r="D18" s="563">
        <v>0</v>
      </c>
      <c r="E18" s="564">
        <v>0</v>
      </c>
      <c r="F18" s="565" t="s">
        <v>55</v>
      </c>
      <c r="G18" s="566" t="s">
        <v>48</v>
      </c>
      <c r="H18" s="567" t="s">
        <v>48</v>
      </c>
      <c r="I18" s="567" t="s">
        <v>48</v>
      </c>
      <c r="J18" s="568">
        <f>C18-L8</f>
        <v>0</v>
      </c>
      <c r="K18" s="569">
        <v>1</v>
      </c>
      <c r="L18" s="570">
        <f>C18</f>
        <v>7.3841111923920995</v>
      </c>
      <c r="M18" s="571">
        <f>M19</f>
        <v>0.45280000000000004</v>
      </c>
      <c r="N18" s="572"/>
      <c r="O18" s="567">
        <f>J18*M18</f>
        <v>0</v>
      </c>
      <c r="P18" s="570" t="str">
        <f>G18</f>
        <v>-</v>
      </c>
      <c r="Q18" s="573"/>
      <c r="R18" s="573"/>
      <c r="S18" s="574"/>
      <c r="T18" s="566" t="s">
        <v>56</v>
      </c>
      <c r="U18" s="575">
        <f>O18</f>
        <v>0</v>
      </c>
      <c r="V18" s="564"/>
    </row>
    <row r="19" spans="1:25" x14ac:dyDescent="0.25">
      <c r="A19" s="498" t="s">
        <v>57</v>
      </c>
      <c r="B19" s="499">
        <v>42270</v>
      </c>
      <c r="C19" s="500">
        <f>(30/3.2808)-2.75</f>
        <v>6.3941111923920992</v>
      </c>
      <c r="D19" s="501">
        <v>0</v>
      </c>
      <c r="E19" s="502">
        <v>0</v>
      </c>
      <c r="F19" s="503" t="s">
        <v>55</v>
      </c>
      <c r="G19" s="504" t="s">
        <v>48</v>
      </c>
      <c r="H19" s="505" t="s">
        <v>48</v>
      </c>
      <c r="I19" s="505" t="s">
        <v>48</v>
      </c>
      <c r="J19" s="506">
        <f>C19-L9</f>
        <v>-0.65000000000000036</v>
      </c>
      <c r="K19" s="507">
        <v>1</v>
      </c>
      <c r="L19" s="508">
        <f>C19</f>
        <v>6.3941111923920992</v>
      </c>
      <c r="M19" s="509">
        <v>0.45280000000000004</v>
      </c>
      <c r="N19" s="510"/>
      <c r="O19" s="510">
        <f>J19*M19</f>
        <v>-0.29432000000000019</v>
      </c>
      <c r="P19" s="508" t="str">
        <f>G19</f>
        <v>-</v>
      </c>
      <c r="Q19" s="511"/>
      <c r="R19" s="511"/>
      <c r="S19" s="512"/>
      <c r="T19" s="508">
        <f>-T14</f>
        <v>-0.81666666666666643</v>
      </c>
      <c r="U19" s="508">
        <f>O19</f>
        <v>-0.29432000000000019</v>
      </c>
      <c r="V19" s="508" t="e">
        <f>V10+#REF!</f>
        <v>#REF!</v>
      </c>
    </row>
    <row r="20" spans="1:25" s="615" customFormat="1" ht="15.75" thickBot="1" x14ac:dyDescent="0.3">
      <c r="A20" s="604" t="s">
        <v>58</v>
      </c>
      <c r="B20" s="630">
        <v>42270</v>
      </c>
      <c r="C20" s="631">
        <f>(30/3.2808)-1.9</f>
        <v>7.2441111923920989</v>
      </c>
      <c r="D20" s="632">
        <v>0</v>
      </c>
      <c r="E20" s="633">
        <v>0</v>
      </c>
      <c r="F20" s="634" t="s">
        <v>59</v>
      </c>
      <c r="G20" s="635" t="s">
        <v>48</v>
      </c>
      <c r="H20" s="636" t="s">
        <v>48</v>
      </c>
      <c r="I20" s="636" t="s">
        <v>48</v>
      </c>
      <c r="J20" s="637">
        <f>C20-L10</f>
        <v>0.16999999999999993</v>
      </c>
      <c r="K20" s="638">
        <v>1</v>
      </c>
      <c r="L20" s="639">
        <f>C20</f>
        <v>7.2441111923920989</v>
      </c>
      <c r="M20" s="611" t="s">
        <v>48</v>
      </c>
      <c r="N20" s="637" t="s">
        <v>48</v>
      </c>
      <c r="O20" s="637" t="s">
        <v>48</v>
      </c>
      <c r="P20" s="639">
        <f>C20-C10</f>
        <v>0.16999999999999993</v>
      </c>
      <c r="Q20" s="640">
        <f>Q9</f>
        <v>0.4366666666666667</v>
      </c>
      <c r="R20" s="641" t="s">
        <v>45</v>
      </c>
      <c r="S20" s="613">
        <f>P20*Q20</f>
        <v>7.4233333333333304E-2</v>
      </c>
      <c r="T20" s="639">
        <f>-S20</f>
        <v>-7.4233333333333304E-2</v>
      </c>
      <c r="U20" s="639">
        <f>T20+T15</f>
        <v>0.70784811021702043</v>
      </c>
      <c r="V20" s="639"/>
    </row>
    <row r="21" spans="1:25" s="642" customFormat="1" x14ac:dyDescent="0.25">
      <c r="A21" s="643" t="s">
        <v>49</v>
      </c>
      <c r="B21" s="644">
        <v>42270</v>
      </c>
      <c r="C21" s="645">
        <f>12-4.74</f>
        <v>7.26</v>
      </c>
      <c r="D21" s="646">
        <v>0</v>
      </c>
      <c r="E21" s="647">
        <v>0</v>
      </c>
      <c r="F21" s="648" t="s">
        <v>19</v>
      </c>
      <c r="G21" s="649" t="s">
        <v>48</v>
      </c>
      <c r="H21" s="650" t="s">
        <v>48</v>
      </c>
      <c r="I21" s="650" t="s">
        <v>48</v>
      </c>
      <c r="J21" s="654" t="s">
        <v>48</v>
      </c>
      <c r="K21" s="652">
        <v>1</v>
      </c>
      <c r="L21" s="649">
        <f>C21</f>
        <v>7.26</v>
      </c>
      <c r="M21" s="649">
        <v>0.9</v>
      </c>
      <c r="N21" s="650">
        <f>L21*M21</f>
        <v>6.5339999999999998</v>
      </c>
      <c r="O21" s="654">
        <f>N21-N12</f>
        <v>-2.4660000000000002</v>
      </c>
      <c r="P21" s="653"/>
      <c r="Q21" s="654"/>
      <c r="R21" s="652"/>
      <c r="S21" s="651"/>
      <c r="T21" s="653">
        <f>O21-T16</f>
        <v>-2.94475</v>
      </c>
      <c r="U21" s="655">
        <f>O21</f>
        <v>-2.4660000000000002</v>
      </c>
      <c r="V21" s="647"/>
    </row>
    <row r="22" spans="1:25" ht="15.75" thickBot="1" x14ac:dyDescent="0.3">
      <c r="A22" s="72" t="s">
        <v>50</v>
      </c>
      <c r="B22" s="173">
        <v>42270</v>
      </c>
      <c r="C22" s="174">
        <f>7.5-4.74</f>
        <v>2.76</v>
      </c>
      <c r="D22" s="175">
        <v>0</v>
      </c>
      <c r="E22" s="176">
        <v>0</v>
      </c>
      <c r="F22" s="177" t="s">
        <v>19</v>
      </c>
      <c r="G22" s="178" t="s">
        <v>48</v>
      </c>
      <c r="H22" s="179" t="s">
        <v>48</v>
      </c>
      <c r="I22" s="179" t="s">
        <v>48</v>
      </c>
      <c r="J22" s="179" t="s">
        <v>48</v>
      </c>
      <c r="K22" s="180">
        <v>1</v>
      </c>
      <c r="L22" s="181">
        <f>C22</f>
        <v>2.76</v>
      </c>
      <c r="M22" s="182">
        <v>0.9</v>
      </c>
      <c r="N22" s="183">
        <f>L22*M22</f>
        <v>2.484</v>
      </c>
      <c r="O22" s="183">
        <f>N22-N13</f>
        <v>-3.0510000000000002</v>
      </c>
      <c r="P22" s="181"/>
      <c r="Q22" s="184"/>
      <c r="R22" s="185"/>
      <c r="S22" s="79"/>
      <c r="T22" s="181">
        <f>O22-T17</f>
        <v>-3.2708699999999999</v>
      </c>
      <c r="U22" s="181">
        <f>O22</f>
        <v>-3.0510000000000002</v>
      </c>
      <c r="V22" s="176"/>
    </row>
    <row r="24" spans="1:25" ht="16.5" thickBot="1" x14ac:dyDescent="0.3">
      <c r="A24" s="1" t="s">
        <v>64</v>
      </c>
    </row>
    <row r="25" spans="1:25" x14ac:dyDescent="0.25">
      <c r="A25" s="217"/>
      <c r="B25" s="218"/>
      <c r="C25" s="717" t="s">
        <v>1</v>
      </c>
      <c r="D25" s="718"/>
      <c r="E25" s="719"/>
      <c r="F25" s="218"/>
      <c r="G25" s="720" t="s">
        <v>2</v>
      </c>
      <c r="H25" s="721"/>
      <c r="I25" s="721"/>
      <c r="J25" s="721"/>
      <c r="K25" s="722"/>
      <c r="L25" s="219"/>
      <c r="M25" s="220"/>
      <c r="N25" s="221" t="s">
        <v>65</v>
      </c>
      <c r="O25" s="222"/>
      <c r="P25" s="223"/>
      <c r="Q25" s="221" t="s">
        <v>66</v>
      </c>
      <c r="R25" s="221"/>
      <c r="S25" s="222"/>
      <c r="T25" s="224" t="s">
        <v>67</v>
      </c>
      <c r="U25" s="221"/>
      <c r="V25" s="221"/>
      <c r="W25" s="221"/>
      <c r="X25" s="221"/>
      <c r="Y25" s="222"/>
    </row>
    <row r="26" spans="1:25" ht="33.75" x14ac:dyDescent="0.25">
      <c r="A26" s="225" t="s">
        <v>8</v>
      </c>
      <c r="B26" s="225" t="s">
        <v>9</v>
      </c>
      <c r="C26" s="226" t="s">
        <v>68</v>
      </c>
      <c r="D26" s="227" t="s">
        <v>69</v>
      </c>
      <c r="E26" s="228" t="s">
        <v>70</v>
      </c>
      <c r="F26" s="225" t="s">
        <v>12</v>
      </c>
      <c r="G26" s="229" t="s">
        <v>71</v>
      </c>
      <c r="H26" s="230"/>
      <c r="I26" s="230" t="s">
        <v>15</v>
      </c>
      <c r="J26" s="230"/>
      <c r="K26" s="231"/>
      <c r="L26" s="232" t="s">
        <v>72</v>
      </c>
      <c r="M26" s="233" t="s">
        <v>18</v>
      </c>
      <c r="N26" s="234" t="s">
        <v>73</v>
      </c>
      <c r="O26" s="235"/>
      <c r="P26" s="233" t="s">
        <v>20</v>
      </c>
      <c r="Q26" s="236" t="s">
        <v>21</v>
      </c>
      <c r="R26" s="234" t="s">
        <v>74</v>
      </c>
      <c r="S26" s="237" t="s">
        <v>75</v>
      </c>
      <c r="T26" s="238" t="s">
        <v>76</v>
      </c>
      <c r="U26" s="239" t="s">
        <v>77</v>
      </c>
      <c r="V26" s="239" t="s">
        <v>78</v>
      </c>
      <c r="W26" s="240" t="s">
        <v>79</v>
      </c>
      <c r="X26" s="240" t="s">
        <v>80</v>
      </c>
      <c r="Y26" s="241" t="s">
        <v>81</v>
      </c>
    </row>
    <row r="27" spans="1:25" x14ac:dyDescent="0.25">
      <c r="A27" s="225" t="s">
        <v>25</v>
      </c>
      <c r="B27" s="225"/>
      <c r="C27" s="226"/>
      <c r="D27" s="227"/>
      <c r="E27" s="228"/>
      <c r="F27" s="242"/>
      <c r="G27" s="229"/>
      <c r="H27" s="230"/>
      <c r="I27" s="230"/>
      <c r="J27" s="230"/>
      <c r="K27" s="231"/>
      <c r="L27" s="225"/>
      <c r="M27" s="233"/>
      <c r="N27" s="243" t="s">
        <v>82</v>
      </c>
      <c r="O27" s="235"/>
      <c r="P27" s="233" t="s">
        <v>29</v>
      </c>
      <c r="Q27" s="244" t="s">
        <v>31</v>
      </c>
      <c r="R27" s="243"/>
      <c r="S27" s="235"/>
      <c r="T27" s="245"/>
      <c r="U27" s="246"/>
      <c r="V27" s="246"/>
      <c r="W27" s="247"/>
      <c r="X27" s="247"/>
      <c r="Y27" s="248"/>
    </row>
    <row r="28" spans="1:25" ht="15.75" thickBot="1" x14ac:dyDescent="0.3">
      <c r="A28" s="249"/>
      <c r="B28" s="249" t="s">
        <v>38</v>
      </c>
      <c r="C28" s="250" t="s">
        <v>39</v>
      </c>
      <c r="D28" s="251" t="s">
        <v>39</v>
      </c>
      <c r="E28" s="252" t="s">
        <v>39</v>
      </c>
      <c r="F28" s="253"/>
      <c r="G28" s="254" t="s">
        <v>39</v>
      </c>
      <c r="H28" s="255"/>
      <c r="I28" s="255" t="s">
        <v>40</v>
      </c>
      <c r="J28" s="255"/>
      <c r="K28" s="256"/>
      <c r="L28" s="249" t="s">
        <v>39</v>
      </c>
      <c r="M28" s="257" t="s">
        <v>83</v>
      </c>
      <c r="N28" s="258" t="s">
        <v>39</v>
      </c>
      <c r="O28" s="259"/>
      <c r="P28" s="257" t="s">
        <v>39</v>
      </c>
      <c r="Q28" s="260" t="s">
        <v>42</v>
      </c>
      <c r="R28" s="258"/>
      <c r="S28" s="259" t="s">
        <v>84</v>
      </c>
      <c r="T28" s="261" t="s">
        <v>85</v>
      </c>
      <c r="U28" s="262" t="s">
        <v>85</v>
      </c>
      <c r="V28" s="262" t="s">
        <v>85</v>
      </c>
      <c r="W28" s="262" t="s">
        <v>85</v>
      </c>
      <c r="X28" s="262" t="s">
        <v>85</v>
      </c>
      <c r="Y28" s="263"/>
    </row>
    <row r="29" spans="1:25" s="642" customFormat="1" x14ac:dyDescent="0.25">
      <c r="A29" s="642" t="s">
        <v>184</v>
      </c>
      <c r="B29" s="658">
        <v>41872</v>
      </c>
      <c r="C29" s="642">
        <v>12</v>
      </c>
      <c r="D29" s="642">
        <v>2</v>
      </c>
      <c r="E29" s="642">
        <f>C29-D29</f>
        <v>10</v>
      </c>
      <c r="F29" s="642" t="s">
        <v>185</v>
      </c>
      <c r="G29" s="642">
        <f>'Probe 14-K29C_2014.08.21'!B4</f>
        <v>0</v>
      </c>
      <c r="I29" s="642">
        <v>0</v>
      </c>
      <c r="M29" s="642">
        <v>0.9</v>
      </c>
    </row>
    <row r="30" spans="1:25" s="642" customFormat="1" x14ac:dyDescent="0.25">
      <c r="A30" s="642" t="s">
        <v>184</v>
      </c>
      <c r="B30" s="658">
        <v>42171</v>
      </c>
      <c r="C30" s="642">
        <v>12</v>
      </c>
      <c r="D30" s="642">
        <v>1.51</v>
      </c>
      <c r="E30" s="642">
        <f>C30-D30</f>
        <v>10.49</v>
      </c>
      <c r="F30" s="642" t="s">
        <v>90</v>
      </c>
      <c r="G30" s="642">
        <f>'FedSampCores14-K29C_2015.06.06'!I12/100</f>
        <v>0.67</v>
      </c>
      <c r="I30" s="659">
        <f>'FedSampCores14-K29C_2015.06.06'!I3</f>
        <v>0.7659999999999999</v>
      </c>
      <c r="L30" s="659">
        <f>E30-I30</f>
        <v>9.7240000000000002</v>
      </c>
      <c r="M30" s="642">
        <f>M29</f>
        <v>0.9</v>
      </c>
      <c r="N30" s="659">
        <f>L30-E29</f>
        <v>-0.2759999999999998</v>
      </c>
      <c r="P30" s="659">
        <f>I30</f>
        <v>0.7659999999999999</v>
      </c>
      <c r="Q30" s="659">
        <f>'FedSampCores14-K29C_2015.06.06'!I4</f>
        <v>0.60338345864661647</v>
      </c>
      <c r="U30" s="659">
        <f>P30*Q30</f>
        <v>0.46219172932330815</v>
      </c>
      <c r="W30" s="659">
        <f>N30*M30</f>
        <v>-0.24839999999999982</v>
      </c>
    </row>
    <row r="31" spans="1:25" s="642" customFormat="1" x14ac:dyDescent="0.25">
      <c r="A31" s="642" t="s">
        <v>184</v>
      </c>
      <c r="B31" s="658">
        <v>42270</v>
      </c>
      <c r="C31" s="642">
        <v>12</v>
      </c>
      <c r="D31" s="642">
        <v>4.74</v>
      </c>
      <c r="E31" s="642">
        <f>C31-D31</f>
        <v>7.26</v>
      </c>
      <c r="F31" s="642" t="s">
        <v>185</v>
      </c>
      <c r="G31" s="642">
        <v>0</v>
      </c>
      <c r="I31" s="642">
        <v>0</v>
      </c>
      <c r="L31" s="659">
        <f>L30</f>
        <v>9.7240000000000002</v>
      </c>
      <c r="M31" s="642">
        <f>M29</f>
        <v>0.9</v>
      </c>
      <c r="N31" s="659">
        <f>E31-L31</f>
        <v>-2.4640000000000004</v>
      </c>
      <c r="T31" s="659">
        <f>V31-U30</f>
        <v>-2.6797917293233087</v>
      </c>
      <c r="V31" s="659">
        <f>N31*M31</f>
        <v>-2.2176000000000005</v>
      </c>
      <c r="X31" s="642">
        <v>0</v>
      </c>
    </row>
    <row r="37" spans="1:9" ht="15.75" thickBot="1" x14ac:dyDescent="0.3"/>
    <row r="38" spans="1:9" ht="23.25" x14ac:dyDescent="0.25">
      <c r="A38" s="494" t="s">
        <v>156</v>
      </c>
      <c r="B38" s="495"/>
      <c r="C38" s="540" t="s">
        <v>157</v>
      </c>
      <c r="D38" s="541"/>
      <c r="E38" s="470" t="s">
        <v>158</v>
      </c>
      <c r="F38" s="471"/>
      <c r="G38" s="470" t="s">
        <v>159</v>
      </c>
      <c r="H38" s="471"/>
      <c r="I38" s="472" t="s">
        <v>160</v>
      </c>
    </row>
    <row r="39" spans="1:9" ht="26.25" x14ac:dyDescent="0.25">
      <c r="A39" s="496"/>
      <c r="B39" s="497"/>
      <c r="C39" s="473" t="s">
        <v>161</v>
      </c>
      <c r="D39" s="474" t="s">
        <v>162</v>
      </c>
      <c r="E39" s="475">
        <f>B29</f>
        <v>41872</v>
      </c>
      <c r="F39" s="476"/>
      <c r="G39" s="539">
        <f>B30</f>
        <v>42171</v>
      </c>
      <c r="H39" s="476" t="s">
        <v>163</v>
      </c>
      <c r="I39" s="478">
        <f>B31</f>
        <v>42270</v>
      </c>
    </row>
    <row r="40" spans="1:9" x14ac:dyDescent="0.25">
      <c r="A40" s="479"/>
      <c r="B40" s="480" t="s">
        <v>164</v>
      </c>
      <c r="C40" s="481">
        <f>U30</f>
        <v>0.46219172932330815</v>
      </c>
      <c r="D40" s="481">
        <f>C40+C44-C43</f>
        <v>0.21379172932330834</v>
      </c>
      <c r="E40" s="483"/>
      <c r="F40" s="483"/>
      <c r="G40" s="484"/>
      <c r="H40" s="481"/>
      <c r="I40" s="485"/>
    </row>
    <row r="41" spans="1:9" x14ac:dyDescent="0.25">
      <c r="A41" s="479"/>
      <c r="B41" s="480" t="s">
        <v>165</v>
      </c>
      <c r="C41" s="481">
        <f>T31</f>
        <v>-2.6797917293233087</v>
      </c>
      <c r="D41" s="481">
        <f>D42-D40</f>
        <v>-2.4313917293233089</v>
      </c>
      <c r="E41" s="483"/>
      <c r="F41" s="483"/>
      <c r="G41" s="484"/>
      <c r="H41" s="481"/>
      <c r="I41" s="485"/>
    </row>
    <row r="42" spans="1:9" x14ac:dyDescent="0.25">
      <c r="A42" s="479"/>
      <c r="B42" s="480" t="s">
        <v>166</v>
      </c>
      <c r="C42" s="481">
        <f>V31</f>
        <v>-2.2176000000000005</v>
      </c>
      <c r="D42" s="481">
        <f>C42+C45</f>
        <v>-2.2176000000000005</v>
      </c>
      <c r="E42" s="483"/>
      <c r="F42" s="483"/>
      <c r="G42" s="484"/>
      <c r="H42" s="481"/>
      <c r="I42" s="485"/>
    </row>
    <row r="43" spans="1:9" x14ac:dyDescent="0.25">
      <c r="A43" s="479"/>
      <c r="B43" s="486" t="s">
        <v>167</v>
      </c>
      <c r="C43" s="481">
        <v>0</v>
      </c>
      <c r="D43" s="481"/>
      <c r="E43" s="483"/>
      <c r="F43" s="483"/>
      <c r="G43" s="481"/>
      <c r="H43" s="481"/>
      <c r="I43" s="485"/>
    </row>
    <row r="44" spans="1:9" x14ac:dyDescent="0.25">
      <c r="A44" s="479"/>
      <c r="B44" s="487" t="s">
        <v>168</v>
      </c>
      <c r="C44" s="481">
        <f>W30</f>
        <v>-0.24839999999999982</v>
      </c>
      <c r="D44" s="481"/>
      <c r="E44" s="483"/>
      <c r="F44" s="483"/>
      <c r="G44" s="481"/>
      <c r="H44" s="481"/>
      <c r="I44" s="485"/>
    </row>
    <row r="45" spans="1:9" ht="15.75" thickBot="1" x14ac:dyDescent="0.3">
      <c r="A45" s="488"/>
      <c r="B45" s="489" t="s">
        <v>169</v>
      </c>
      <c r="C45" s="490">
        <f>X31</f>
        <v>0</v>
      </c>
      <c r="D45" s="490"/>
      <c r="E45" s="491"/>
      <c r="F45" s="491"/>
      <c r="G45" s="492"/>
      <c r="H45" s="492"/>
      <c r="I45" s="493"/>
    </row>
  </sheetData>
  <mergeCells count="5">
    <mergeCell ref="C25:E25"/>
    <mergeCell ref="G25:K25"/>
    <mergeCell ref="M2:O2"/>
    <mergeCell ref="P2:S2"/>
    <mergeCell ref="D3:E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D576-7B38-4F8F-B0B4-3838D7F92712}">
  <dimension ref="A1:Y41"/>
  <sheetViews>
    <sheetView topLeftCell="A10" workbookViewId="0">
      <selection activeCell="D30" sqref="D30"/>
    </sheetView>
  </sheetViews>
  <sheetFormatPr defaultRowHeight="15" x14ac:dyDescent="0.25"/>
  <cols>
    <col min="1" max="1" width="10.28515625" bestFit="1" customWidth="1"/>
    <col min="2" max="2" width="12.85546875" customWidth="1"/>
    <col min="3" max="3" width="11.28515625" customWidth="1"/>
    <col min="4" max="4" width="13.42578125" customWidth="1"/>
    <col min="5" max="6" width="10.7109375" bestFit="1" customWidth="1"/>
    <col min="7" max="7" width="10.140625" bestFit="1" customWidth="1"/>
    <col min="8" max="8" width="6.42578125" customWidth="1"/>
    <col min="9" max="9" width="9.7109375" bestFit="1" customWidth="1"/>
  </cols>
  <sheetData>
    <row r="1" spans="1:25" ht="16.5" thickBot="1" x14ac:dyDescent="0.3">
      <c r="A1" s="1" t="s">
        <v>0</v>
      </c>
    </row>
    <row r="2" spans="1:25" x14ac:dyDescent="0.25">
      <c r="A2" s="2"/>
      <c r="B2" s="3"/>
      <c r="C2" s="545" t="s">
        <v>1</v>
      </c>
      <c r="D2" s="546"/>
      <c r="E2" s="547"/>
      <c r="F2" s="542"/>
      <c r="G2" s="5" t="s">
        <v>2</v>
      </c>
      <c r="H2" s="6"/>
      <c r="I2" s="6"/>
      <c r="J2" s="6"/>
      <c r="K2" s="6"/>
      <c r="L2" s="7" t="s">
        <v>3</v>
      </c>
      <c r="M2" s="727" t="s">
        <v>4</v>
      </c>
      <c r="N2" s="729"/>
      <c r="O2" s="730"/>
      <c r="P2" s="713" t="s">
        <v>5</v>
      </c>
      <c r="Q2" s="731"/>
      <c r="R2" s="731"/>
      <c r="S2" s="732"/>
      <c r="T2" s="8" t="s">
        <v>6</v>
      </c>
      <c r="U2" s="8" t="s">
        <v>7</v>
      </c>
    </row>
    <row r="3" spans="1:25" x14ac:dyDescent="0.25">
      <c r="A3" s="9" t="s">
        <v>8</v>
      </c>
      <c r="B3" s="9" t="s">
        <v>9</v>
      </c>
      <c r="C3" s="10" t="s">
        <v>10</v>
      </c>
      <c r="D3" s="715" t="s">
        <v>11</v>
      </c>
      <c r="E3" s="733"/>
      <c r="F3" s="9" t="s">
        <v>12</v>
      </c>
      <c r="G3" s="11" t="s">
        <v>13</v>
      </c>
      <c r="H3" s="12" t="s">
        <v>14</v>
      </c>
      <c r="I3" s="12" t="s">
        <v>15</v>
      </c>
      <c r="J3" s="13"/>
      <c r="K3" s="14" t="s">
        <v>16</v>
      </c>
      <c r="L3" s="15" t="s">
        <v>17</v>
      </c>
      <c r="M3" s="15" t="s">
        <v>18</v>
      </c>
      <c r="N3" s="16" t="s">
        <v>8</v>
      </c>
      <c r="O3" s="17" t="s">
        <v>19</v>
      </c>
      <c r="P3" s="15" t="s">
        <v>20</v>
      </c>
      <c r="Q3" s="18" t="s">
        <v>21</v>
      </c>
      <c r="R3" s="19" t="s">
        <v>22</v>
      </c>
      <c r="S3" s="16" t="s">
        <v>23</v>
      </c>
      <c r="T3" s="20" t="s">
        <v>24</v>
      </c>
      <c r="U3" s="20" t="s">
        <v>24</v>
      </c>
    </row>
    <row r="4" spans="1:25" ht="15.75" thickBot="1" x14ac:dyDescent="0.3">
      <c r="A4" s="9" t="s">
        <v>25</v>
      </c>
      <c r="B4" s="9"/>
      <c r="C4" s="21" t="s">
        <v>26</v>
      </c>
      <c r="D4" s="22" t="s">
        <v>27</v>
      </c>
      <c r="E4" s="22" t="s">
        <v>28</v>
      </c>
      <c r="F4" s="23"/>
      <c r="G4" s="24" t="s">
        <v>29</v>
      </c>
      <c r="H4" s="25" t="s">
        <v>29</v>
      </c>
      <c r="I4" s="25" t="s">
        <v>29</v>
      </c>
      <c r="J4" s="13"/>
      <c r="K4" s="14"/>
      <c r="L4" s="24" t="s">
        <v>30</v>
      </c>
      <c r="M4" s="26" t="s">
        <v>31</v>
      </c>
      <c r="N4" s="27" t="s">
        <v>32</v>
      </c>
      <c r="O4" s="27" t="s">
        <v>33</v>
      </c>
      <c r="P4" s="28" t="s">
        <v>29</v>
      </c>
      <c r="Q4" s="29" t="s">
        <v>31</v>
      </c>
      <c r="R4" s="30" t="s">
        <v>34</v>
      </c>
      <c r="S4" s="27" t="s">
        <v>35</v>
      </c>
      <c r="T4" s="31" t="s">
        <v>36</v>
      </c>
      <c r="U4" s="31" t="s">
        <v>37</v>
      </c>
      <c r="V4" s="32"/>
    </row>
    <row r="5" spans="1:25" ht="34.5" thickBot="1" x14ac:dyDescent="0.3">
      <c r="A5" s="33"/>
      <c r="B5" s="33" t="s">
        <v>38</v>
      </c>
      <c r="C5" s="34" t="s">
        <v>39</v>
      </c>
      <c r="D5" s="35" t="s">
        <v>39</v>
      </c>
      <c r="E5" s="35" t="s">
        <v>39</v>
      </c>
      <c r="F5" s="36"/>
      <c r="G5" s="37" t="s">
        <v>39</v>
      </c>
      <c r="H5" s="38" t="s">
        <v>39</v>
      </c>
      <c r="I5" s="38" t="s">
        <v>40</v>
      </c>
      <c r="J5" s="39" t="s">
        <v>41</v>
      </c>
      <c r="K5" s="40"/>
      <c r="L5" s="37" t="s">
        <v>39</v>
      </c>
      <c r="M5" s="41" t="s">
        <v>42</v>
      </c>
      <c r="N5" s="42" t="s">
        <v>43</v>
      </c>
      <c r="O5" s="42" t="s">
        <v>43</v>
      </c>
      <c r="P5" s="41" t="s">
        <v>39</v>
      </c>
      <c r="Q5" s="543" t="s">
        <v>42</v>
      </c>
      <c r="R5" s="44" t="s">
        <v>44</v>
      </c>
      <c r="S5" s="42" t="s">
        <v>43</v>
      </c>
      <c r="T5" s="45" t="s">
        <v>43</v>
      </c>
      <c r="U5" s="45" t="s">
        <v>43</v>
      </c>
      <c r="V5" s="32"/>
    </row>
    <row r="6" spans="1:25" x14ac:dyDescent="0.25">
      <c r="A6" s="186" t="s">
        <v>60</v>
      </c>
      <c r="B6" s="187">
        <v>41872</v>
      </c>
      <c r="C6" s="188">
        <f>9-1.57</f>
        <v>7.43</v>
      </c>
      <c r="D6" s="189">
        <v>0</v>
      </c>
      <c r="E6" s="190">
        <v>0</v>
      </c>
      <c r="F6" s="191" t="s">
        <v>61</v>
      </c>
      <c r="G6" s="192">
        <v>2.0499999999999998</v>
      </c>
      <c r="H6" s="193" t="s">
        <v>48</v>
      </c>
      <c r="I6" s="193" t="s">
        <v>48</v>
      </c>
      <c r="J6" s="193"/>
      <c r="K6" s="194">
        <v>1</v>
      </c>
      <c r="L6" s="192">
        <f t="shared" ref="L6:L13" si="0">C6</f>
        <v>7.43</v>
      </c>
      <c r="M6" s="192">
        <f>M19</f>
        <v>0.45280000000000004</v>
      </c>
      <c r="N6" s="195">
        <f t="shared" ref="N6:N13" si="1">L6*M6</f>
        <v>3.3643040000000002</v>
      </c>
      <c r="O6" s="193" t="e">
        <f>N6-#REF!</f>
        <v>#REF!</v>
      </c>
      <c r="P6" s="196">
        <f>G6</f>
        <v>2.0499999999999998</v>
      </c>
      <c r="Q6" s="193">
        <f>Q9</f>
        <v>0.4366666666666667</v>
      </c>
      <c r="R6" s="197" t="s">
        <v>45</v>
      </c>
      <c r="S6" s="195">
        <f>((P6*Q6)-(P6*(1-(Q6/0.9)))*0.07)</f>
        <v>0.82129074074074071</v>
      </c>
      <c r="T6" s="196">
        <f>-S6</f>
        <v>-0.82129074074074071</v>
      </c>
      <c r="U6" s="196" t="e">
        <f>T6+#REF!</f>
        <v>#REF!</v>
      </c>
      <c r="V6" s="190"/>
    </row>
    <row r="7" spans="1:25" x14ac:dyDescent="0.25">
      <c r="A7" s="198" t="s">
        <v>62</v>
      </c>
      <c r="B7" s="199">
        <v>41872</v>
      </c>
      <c r="C7" s="200">
        <f>6-0.63</f>
        <v>5.37</v>
      </c>
      <c r="D7" s="201">
        <v>0</v>
      </c>
      <c r="E7" s="202">
        <v>0</v>
      </c>
      <c r="F7" s="203" t="s">
        <v>59</v>
      </c>
      <c r="G7" s="204">
        <v>2</v>
      </c>
      <c r="H7" s="205" t="s">
        <v>48</v>
      </c>
      <c r="I7" s="205" t="s">
        <v>48</v>
      </c>
      <c r="J7" s="205"/>
      <c r="K7" s="206">
        <v>1</v>
      </c>
      <c r="L7" s="204">
        <f t="shared" si="0"/>
        <v>5.37</v>
      </c>
      <c r="M7" s="204">
        <f>M19</f>
        <v>0.45280000000000004</v>
      </c>
      <c r="N7" s="207">
        <f t="shared" si="1"/>
        <v>2.4315360000000004</v>
      </c>
      <c r="O7" s="205">
        <f>N7-N2</f>
        <v>2.4315360000000004</v>
      </c>
      <c r="P7" s="208">
        <f>G7</f>
        <v>2</v>
      </c>
      <c r="Q7" s="205">
        <f>Q9</f>
        <v>0.4366666666666667</v>
      </c>
      <c r="R7" s="206" t="s">
        <v>45</v>
      </c>
      <c r="S7" s="207">
        <f>((P7*Q7)-(P7*(1-(Q7/0.9)))*0.07)</f>
        <v>0.80125925925925934</v>
      </c>
      <c r="T7" s="208">
        <f>-S7</f>
        <v>-0.80125925925925934</v>
      </c>
      <c r="U7" s="208"/>
      <c r="V7" s="202"/>
    </row>
    <row r="8" spans="1:25" x14ac:dyDescent="0.25">
      <c r="A8" s="548" t="s">
        <v>63</v>
      </c>
      <c r="B8" s="549">
        <v>41872</v>
      </c>
      <c r="C8" s="550">
        <f>(30/3.2808)-1.76</f>
        <v>7.3841111923920995</v>
      </c>
      <c r="D8" s="551">
        <v>0</v>
      </c>
      <c r="E8" s="552">
        <v>0</v>
      </c>
      <c r="F8" s="553" t="s">
        <v>59</v>
      </c>
      <c r="G8" s="554">
        <v>2.2400000000000002</v>
      </c>
      <c r="H8" s="555" t="s">
        <v>48</v>
      </c>
      <c r="I8" s="555" t="s">
        <v>48</v>
      </c>
      <c r="J8" s="555"/>
      <c r="K8" s="556">
        <v>1</v>
      </c>
      <c r="L8" s="554">
        <f t="shared" si="0"/>
        <v>7.3841111923920995</v>
      </c>
      <c r="M8" s="554">
        <f>M19</f>
        <v>0.45280000000000004</v>
      </c>
      <c r="N8" s="557">
        <f t="shared" si="1"/>
        <v>3.3435255479151431</v>
      </c>
      <c r="O8" s="555"/>
      <c r="P8" s="558">
        <f>G8</f>
        <v>2.2400000000000002</v>
      </c>
      <c r="Q8" s="555">
        <f>Q9</f>
        <v>0.4366666666666667</v>
      </c>
      <c r="R8" s="556" t="s">
        <v>45</v>
      </c>
      <c r="S8" s="557">
        <f>((P8*Q8)-(P8*(1-(Q8/0.9)))*0.07)</f>
        <v>0.89741037037037052</v>
      </c>
      <c r="T8" s="558">
        <f>-S8</f>
        <v>-0.89741037037037052</v>
      </c>
      <c r="U8" s="558"/>
      <c r="V8" s="552"/>
      <c r="W8" s="559"/>
      <c r="X8" s="559"/>
      <c r="Y8" s="559"/>
    </row>
    <row r="9" spans="1:25" x14ac:dyDescent="0.25">
      <c r="A9" s="198" t="s">
        <v>51</v>
      </c>
      <c r="B9" s="199">
        <v>41872</v>
      </c>
      <c r="C9" s="200">
        <f>(30/3.2808)-2.1</f>
        <v>7.0441111923920996</v>
      </c>
      <c r="D9" s="201">
        <v>0</v>
      </c>
      <c r="E9" s="202">
        <v>0</v>
      </c>
      <c r="F9" s="203" t="s">
        <v>59</v>
      </c>
      <c r="G9" s="204">
        <v>2.09</v>
      </c>
      <c r="H9" s="205">
        <f>AVERAGE(2.18,2.05,2.22,2.07,2,2.19,2.05,2.2,2.03)</f>
        <v>2.1100000000000003</v>
      </c>
      <c r="I9" s="205">
        <f>AVERAGE(2.09,2.18,2.05,2.22,2.07,2,2.19,2.05,2.2,2.03)</f>
        <v>2.1079999999999997</v>
      </c>
      <c r="J9" s="205"/>
      <c r="K9" s="206">
        <v>10</v>
      </c>
      <c r="L9" s="204">
        <f t="shared" si="0"/>
        <v>7.0441111923920996</v>
      </c>
      <c r="M9" s="204">
        <f>M19</f>
        <v>0.45280000000000004</v>
      </c>
      <c r="N9" s="207">
        <f t="shared" si="1"/>
        <v>3.1895735479151428</v>
      </c>
      <c r="O9" s="205"/>
      <c r="P9" s="208">
        <f>I9</f>
        <v>2.1079999999999997</v>
      </c>
      <c r="Q9" s="205">
        <v>0.4366666666666667</v>
      </c>
      <c r="R9" s="206" t="s">
        <v>46</v>
      </c>
      <c r="S9" s="207">
        <f>((P9*Q9)-(P9*(1-(Q9/0.9)))*0.07)</f>
        <v>0.8445272592592592</v>
      </c>
      <c r="T9" s="208">
        <f>-S9</f>
        <v>-0.8445272592592592</v>
      </c>
      <c r="U9" s="208"/>
      <c r="V9" s="202"/>
    </row>
    <row r="10" spans="1:25" x14ac:dyDescent="0.25">
      <c r="A10" s="46" t="s">
        <v>53</v>
      </c>
      <c r="B10" s="47">
        <v>41872</v>
      </c>
      <c r="C10" s="48">
        <f>(30/3.2808)-2.07</f>
        <v>7.074111192392099</v>
      </c>
      <c r="D10" s="49">
        <v>0</v>
      </c>
      <c r="E10" s="50">
        <v>0</v>
      </c>
      <c r="F10" s="51" t="s">
        <v>59</v>
      </c>
      <c r="G10" s="52">
        <v>2.48</v>
      </c>
      <c r="H10" s="53" t="s">
        <v>48</v>
      </c>
      <c r="I10" s="53" t="s">
        <v>48</v>
      </c>
      <c r="J10" s="54">
        <f>C10-G10-L1</f>
        <v>4.5941111923920985</v>
      </c>
      <c r="K10" s="55">
        <v>1</v>
      </c>
      <c r="L10" s="52">
        <f t="shared" si="0"/>
        <v>7.074111192392099</v>
      </c>
      <c r="M10" s="52">
        <f>M19</f>
        <v>0.45280000000000004</v>
      </c>
      <c r="N10" s="53">
        <f t="shared" si="1"/>
        <v>3.2031575479151426</v>
      </c>
      <c r="O10" s="54"/>
      <c r="P10" s="56">
        <f>G10</f>
        <v>2.48</v>
      </c>
      <c r="Q10" s="54">
        <f>Q9</f>
        <v>0.4366666666666667</v>
      </c>
      <c r="R10" s="55" t="s">
        <v>45</v>
      </c>
      <c r="S10" s="57">
        <f>((P10*Q10)-(P10*(1-(Q10/0.9)))*0.07)</f>
        <v>0.99356148148148171</v>
      </c>
      <c r="T10" s="56">
        <f>-S10</f>
        <v>-0.99356148148148171</v>
      </c>
      <c r="U10" s="58"/>
      <c r="V10" s="50"/>
    </row>
    <row r="11" spans="1:25" x14ac:dyDescent="0.25">
      <c r="A11" s="46" t="s">
        <v>47</v>
      </c>
      <c r="B11" s="47">
        <v>41872</v>
      </c>
      <c r="C11" s="48">
        <f>12-0.62</f>
        <v>11.38</v>
      </c>
      <c r="D11" s="49">
        <v>0</v>
      </c>
      <c r="E11" s="50">
        <v>0</v>
      </c>
      <c r="F11" s="51" t="s">
        <v>19</v>
      </c>
      <c r="G11" s="52">
        <v>0</v>
      </c>
      <c r="H11" s="53" t="s">
        <v>48</v>
      </c>
      <c r="I11" s="53" t="s">
        <v>48</v>
      </c>
      <c r="J11" s="54" t="s">
        <v>48</v>
      </c>
      <c r="K11" s="55">
        <v>1</v>
      </c>
      <c r="L11" s="52">
        <f t="shared" si="0"/>
        <v>11.38</v>
      </c>
      <c r="M11" s="52">
        <v>0.9</v>
      </c>
      <c r="N11" s="53">
        <f t="shared" si="1"/>
        <v>10.242000000000001</v>
      </c>
      <c r="O11" s="54" t="s">
        <v>48</v>
      </c>
      <c r="P11" s="56">
        <f>G11</f>
        <v>0</v>
      </c>
      <c r="Q11" s="54" t="s">
        <v>48</v>
      </c>
      <c r="R11" s="55" t="s">
        <v>48</v>
      </c>
      <c r="S11" s="57" t="s">
        <v>48</v>
      </c>
      <c r="T11" s="56" t="str">
        <f t="shared" ref="T11:T17" si="2">S11</f>
        <v>-</v>
      </c>
      <c r="U11" s="58" t="s">
        <v>48</v>
      </c>
      <c r="V11" s="50"/>
    </row>
    <row r="12" spans="1:25" x14ac:dyDescent="0.25">
      <c r="A12" s="59" t="s">
        <v>49</v>
      </c>
      <c r="B12" s="60">
        <v>41872</v>
      </c>
      <c r="C12" s="61">
        <f>12-2</f>
        <v>10</v>
      </c>
      <c r="D12" s="62">
        <v>0</v>
      </c>
      <c r="E12" s="63">
        <v>0</v>
      </c>
      <c r="F12" s="64" t="s">
        <v>19</v>
      </c>
      <c r="G12" s="65">
        <v>0</v>
      </c>
      <c r="H12" s="66" t="s">
        <v>48</v>
      </c>
      <c r="I12" s="66" t="s">
        <v>48</v>
      </c>
      <c r="J12" s="67" t="s">
        <v>48</v>
      </c>
      <c r="K12" s="68">
        <v>1</v>
      </c>
      <c r="L12" s="65">
        <f t="shared" si="0"/>
        <v>10</v>
      </c>
      <c r="M12" s="65">
        <v>0.9</v>
      </c>
      <c r="N12" s="66">
        <f t="shared" si="1"/>
        <v>9</v>
      </c>
      <c r="O12" s="67" t="s">
        <v>48</v>
      </c>
      <c r="P12" s="69">
        <f>G12</f>
        <v>0</v>
      </c>
      <c r="Q12" s="67" t="s">
        <v>48</v>
      </c>
      <c r="R12" s="68" t="s">
        <v>48</v>
      </c>
      <c r="S12" s="70" t="s">
        <v>48</v>
      </c>
      <c r="T12" s="69" t="str">
        <f t="shared" si="2"/>
        <v>-</v>
      </c>
      <c r="U12" s="71" t="s">
        <v>48</v>
      </c>
      <c r="V12" s="63"/>
    </row>
    <row r="13" spans="1:25" s="673" customFormat="1" ht="15.75" thickBot="1" x14ac:dyDescent="0.3">
      <c r="A13" s="674" t="s">
        <v>50</v>
      </c>
      <c r="B13" s="675">
        <v>41872</v>
      </c>
      <c r="C13" s="676">
        <f>7.5-1.35</f>
        <v>6.15</v>
      </c>
      <c r="D13" s="677">
        <v>0</v>
      </c>
      <c r="E13" s="678">
        <v>0</v>
      </c>
      <c r="F13" s="679" t="s">
        <v>19</v>
      </c>
      <c r="G13" s="680">
        <v>0</v>
      </c>
      <c r="H13" s="681" t="s">
        <v>48</v>
      </c>
      <c r="I13" s="681" t="s">
        <v>48</v>
      </c>
      <c r="J13" s="682" t="s">
        <v>48</v>
      </c>
      <c r="K13" s="683">
        <v>1</v>
      </c>
      <c r="L13" s="680">
        <f t="shared" si="0"/>
        <v>6.15</v>
      </c>
      <c r="M13" s="680">
        <v>0.9</v>
      </c>
      <c r="N13" s="681">
        <f t="shared" si="1"/>
        <v>5.5350000000000001</v>
      </c>
      <c r="O13" s="682" t="s">
        <v>48</v>
      </c>
      <c r="P13" s="684">
        <f>G13</f>
        <v>0</v>
      </c>
      <c r="Q13" s="682" t="s">
        <v>48</v>
      </c>
      <c r="R13" s="683" t="s">
        <v>48</v>
      </c>
      <c r="S13" s="685" t="s">
        <v>48</v>
      </c>
      <c r="T13" s="684" t="str">
        <f t="shared" si="2"/>
        <v>-</v>
      </c>
      <c r="U13" s="686" t="s">
        <v>48</v>
      </c>
      <c r="V13" s="678"/>
    </row>
    <row r="14" spans="1:25" x14ac:dyDescent="0.25">
      <c r="A14" s="102" t="s">
        <v>51</v>
      </c>
      <c r="B14" s="103">
        <v>42171</v>
      </c>
      <c r="C14" s="104">
        <f>(30/3.2808)-0.35</f>
        <v>8.7941111923920996</v>
      </c>
      <c r="D14" s="105">
        <v>0</v>
      </c>
      <c r="E14" s="106">
        <v>0</v>
      </c>
      <c r="F14" s="107" t="s">
        <v>52</v>
      </c>
      <c r="G14" s="108">
        <v>1.95</v>
      </c>
      <c r="H14" s="109">
        <f>AVERAGE(1.9,1.94,2.05,1.98,1.91,2.06,2.12,2.12,2.04)</f>
        <v>2.0133333333333336</v>
      </c>
      <c r="I14" s="110">
        <f>AVERAGE(1.95,1.9,1.94,2.05,1.98,1.91,2.06,2.12,2.12,2.04)</f>
        <v>2.0070000000000001</v>
      </c>
      <c r="J14" s="109">
        <f>C14-G14-L9</f>
        <v>-0.20000000000000018</v>
      </c>
      <c r="K14" s="111">
        <v>10</v>
      </c>
      <c r="L14" s="112">
        <f>L9</f>
        <v>7.0441111923920996</v>
      </c>
      <c r="M14" s="108"/>
      <c r="N14" s="110"/>
      <c r="O14" s="113"/>
      <c r="P14" s="112">
        <f>G14+J14</f>
        <v>1.7499999999999998</v>
      </c>
      <c r="Q14" s="110">
        <v>0.46666666666666662</v>
      </c>
      <c r="R14" s="114" t="s">
        <v>46</v>
      </c>
      <c r="S14" s="109">
        <f>P14*Q14</f>
        <v>0.81666666666666643</v>
      </c>
      <c r="T14" s="112">
        <f>S14</f>
        <v>0.81666666666666643</v>
      </c>
      <c r="U14" s="115" t="s">
        <v>48</v>
      </c>
      <c r="V14" s="106"/>
    </row>
    <row r="15" spans="1:25" ht="15.75" thickBot="1" x14ac:dyDescent="0.3">
      <c r="A15" s="72" t="s">
        <v>53</v>
      </c>
      <c r="B15" s="73">
        <v>42171</v>
      </c>
      <c r="C15" s="74">
        <f>9-0.25</f>
        <v>8.75</v>
      </c>
      <c r="D15" s="75">
        <v>0</v>
      </c>
      <c r="E15" s="76">
        <v>0</v>
      </c>
      <c r="F15" s="77" t="s">
        <v>52</v>
      </c>
      <c r="G15" s="78">
        <v>2.8</v>
      </c>
      <c r="H15" s="79" t="s">
        <v>48</v>
      </c>
      <c r="I15" s="79" t="s">
        <v>48</v>
      </c>
      <c r="J15" s="80">
        <f>C15-G15-L10</f>
        <v>-1.1241111923920988</v>
      </c>
      <c r="K15" s="81">
        <v>1</v>
      </c>
      <c r="L15" s="78">
        <f>L10</f>
        <v>7.074111192392099</v>
      </c>
      <c r="M15" s="78"/>
      <c r="N15" s="79"/>
      <c r="O15" s="80"/>
      <c r="P15" s="82">
        <f>G15+J15</f>
        <v>1.675888807607901</v>
      </c>
      <c r="Q15" s="80">
        <f>Q14</f>
        <v>0.46666666666666662</v>
      </c>
      <c r="R15" s="81" t="s">
        <v>45</v>
      </c>
      <c r="S15" s="83">
        <f>P15*Q15</f>
        <v>0.78208144355035369</v>
      </c>
      <c r="T15" s="82">
        <f t="shared" si="2"/>
        <v>0.78208144355035369</v>
      </c>
      <c r="U15" s="84" t="s">
        <v>48</v>
      </c>
      <c r="V15" s="76"/>
    </row>
    <row r="16" spans="1:25" x14ac:dyDescent="0.25">
      <c r="A16" s="102" t="s">
        <v>49</v>
      </c>
      <c r="B16" s="103">
        <v>42171</v>
      </c>
      <c r="C16" s="104">
        <f>12-1.51</f>
        <v>10.49</v>
      </c>
      <c r="D16" s="105">
        <v>0</v>
      </c>
      <c r="E16" s="106">
        <v>0</v>
      </c>
      <c r="F16" s="107" t="s">
        <v>52</v>
      </c>
      <c r="G16" s="108">
        <v>0.67</v>
      </c>
      <c r="H16" s="109">
        <f>AVERAGE(0.76,0.74,0.73,0.76,0.76,0.92,0.79,0.7,0.83)</f>
        <v>0.77666666666666673</v>
      </c>
      <c r="I16" s="110">
        <f>AVERAGE(0.67,0.76,0.74,0.73,0.76,0.76,0.92,0.79,0.7,0.83)</f>
        <v>0.76600000000000001</v>
      </c>
      <c r="J16" s="109">
        <f>C16-G16-L12</f>
        <v>-0.17999999999999972</v>
      </c>
      <c r="K16" s="111">
        <v>10</v>
      </c>
      <c r="L16" s="112">
        <f>C16-G16</f>
        <v>9.82</v>
      </c>
      <c r="M16" s="108">
        <v>0.9</v>
      </c>
      <c r="N16" s="110">
        <f>L16*M16</f>
        <v>8.838000000000001</v>
      </c>
      <c r="O16" s="113" t="s">
        <v>48</v>
      </c>
      <c r="P16" s="112">
        <f>I16</f>
        <v>0.76600000000000001</v>
      </c>
      <c r="Q16" s="110">
        <v>0.625</v>
      </c>
      <c r="R16" s="114" t="s">
        <v>46</v>
      </c>
      <c r="S16" s="109">
        <f>P16*Q16</f>
        <v>0.47875000000000001</v>
      </c>
      <c r="T16" s="112">
        <f t="shared" si="2"/>
        <v>0.47875000000000001</v>
      </c>
      <c r="U16" s="115" t="s">
        <v>48</v>
      </c>
      <c r="V16" s="106"/>
    </row>
    <row r="17" spans="1:25" s="673" customFormat="1" ht="15.75" thickBot="1" x14ac:dyDescent="0.3">
      <c r="A17" s="674" t="s">
        <v>50</v>
      </c>
      <c r="B17" s="675">
        <v>42171</v>
      </c>
      <c r="C17" s="700">
        <f>7.5-1.62</f>
        <v>5.88</v>
      </c>
      <c r="D17" s="677">
        <v>0</v>
      </c>
      <c r="E17" s="678">
        <v>0</v>
      </c>
      <c r="F17" s="679" t="s">
        <v>52</v>
      </c>
      <c r="G17" s="680">
        <v>0.21</v>
      </c>
      <c r="H17" s="681">
        <f>AVERAGE(0.37,0.41,0.49,0.47,0.325,0.37,0.315,0.4,0.13)</f>
        <v>0.3644444444444444</v>
      </c>
      <c r="I17" s="685">
        <f>AVERAGE(0.21,0.37,0.41,0.49,0.47,0.325,0.37,0.315,0.4,0.13)</f>
        <v>0.34899999999999998</v>
      </c>
      <c r="J17" s="681">
        <f>C17-G17-L13</f>
        <v>-0.48000000000000043</v>
      </c>
      <c r="K17" s="683">
        <v>10</v>
      </c>
      <c r="L17" s="684">
        <f>C17-G17</f>
        <v>5.67</v>
      </c>
      <c r="M17" s="680">
        <v>0.9</v>
      </c>
      <c r="N17" s="685">
        <f>L17*M17</f>
        <v>5.1029999999999998</v>
      </c>
      <c r="O17" s="701" t="s">
        <v>48</v>
      </c>
      <c r="P17" s="684">
        <f>I17</f>
        <v>0.34899999999999998</v>
      </c>
      <c r="Q17" s="685">
        <v>0.63</v>
      </c>
      <c r="R17" s="682" t="s">
        <v>46</v>
      </c>
      <c r="S17" s="681">
        <f>P17*Q17</f>
        <v>0.21986999999999998</v>
      </c>
      <c r="T17" s="684">
        <f t="shared" si="2"/>
        <v>0.21986999999999998</v>
      </c>
      <c r="U17" s="686" t="s">
        <v>48</v>
      </c>
      <c r="V17" s="678"/>
    </row>
    <row r="18" spans="1:25" x14ac:dyDescent="0.25">
      <c r="A18" s="560" t="s">
        <v>54</v>
      </c>
      <c r="B18" s="561">
        <v>42270</v>
      </c>
      <c r="C18" s="562">
        <f>(30/3.2808)-1.76</f>
        <v>7.3841111923920995</v>
      </c>
      <c r="D18" s="563">
        <v>0</v>
      </c>
      <c r="E18" s="564">
        <v>0</v>
      </c>
      <c r="F18" s="565" t="s">
        <v>55</v>
      </c>
      <c r="G18" s="566" t="s">
        <v>48</v>
      </c>
      <c r="H18" s="567" t="s">
        <v>48</v>
      </c>
      <c r="I18" s="567" t="s">
        <v>48</v>
      </c>
      <c r="J18" s="568">
        <f>C18-L8</f>
        <v>0</v>
      </c>
      <c r="K18" s="569">
        <v>1</v>
      </c>
      <c r="L18" s="570">
        <f>C18</f>
        <v>7.3841111923920995</v>
      </c>
      <c r="M18" s="571">
        <f>M19</f>
        <v>0.45280000000000004</v>
      </c>
      <c r="N18" s="572"/>
      <c r="O18" s="567">
        <f>J18*M18</f>
        <v>0</v>
      </c>
      <c r="P18" s="570" t="str">
        <f>G18</f>
        <v>-</v>
      </c>
      <c r="Q18" s="573"/>
      <c r="R18" s="573"/>
      <c r="S18" s="574"/>
      <c r="T18" s="566" t="s">
        <v>56</v>
      </c>
      <c r="U18" s="575">
        <f>O18</f>
        <v>0</v>
      </c>
      <c r="V18" s="564"/>
      <c r="W18" s="559"/>
      <c r="X18" s="559"/>
      <c r="Y18" s="559"/>
    </row>
    <row r="19" spans="1:25" x14ac:dyDescent="0.25">
      <c r="A19" s="498" t="s">
        <v>57</v>
      </c>
      <c r="B19" s="499">
        <v>42270</v>
      </c>
      <c r="C19" s="500">
        <f>(30/3.2808)-2.75</f>
        <v>6.3941111923920992</v>
      </c>
      <c r="D19" s="501">
        <v>0</v>
      </c>
      <c r="E19" s="502">
        <v>0</v>
      </c>
      <c r="F19" s="503" t="s">
        <v>55</v>
      </c>
      <c r="G19" s="504" t="s">
        <v>48</v>
      </c>
      <c r="H19" s="505" t="s">
        <v>48</v>
      </c>
      <c r="I19" s="505" t="s">
        <v>48</v>
      </c>
      <c r="J19" s="506">
        <f>C19-L9</f>
        <v>-0.65000000000000036</v>
      </c>
      <c r="K19" s="507">
        <v>1</v>
      </c>
      <c r="L19" s="508">
        <f>C19</f>
        <v>6.3941111923920992</v>
      </c>
      <c r="M19" s="509">
        <v>0.45280000000000004</v>
      </c>
      <c r="N19" s="510"/>
      <c r="O19" s="510">
        <f>J19*M19</f>
        <v>-0.29432000000000019</v>
      </c>
      <c r="P19" s="508" t="str">
        <f>G19</f>
        <v>-</v>
      </c>
      <c r="Q19" s="511"/>
      <c r="R19" s="511"/>
      <c r="S19" s="512"/>
      <c r="T19" s="508">
        <f>-T14</f>
        <v>-0.81666666666666643</v>
      </c>
      <c r="U19" s="508">
        <f>O19</f>
        <v>-0.29432000000000019</v>
      </c>
      <c r="V19" s="508" t="e">
        <f>V10+#REF!</f>
        <v>#REF!</v>
      </c>
      <c r="W19" s="513"/>
      <c r="X19" s="513"/>
      <c r="Y19" s="513"/>
    </row>
    <row r="20" spans="1:25" x14ac:dyDescent="0.25">
      <c r="A20" s="46" t="s">
        <v>58</v>
      </c>
      <c r="B20" s="161">
        <v>42270</v>
      </c>
      <c r="C20" s="162">
        <f>(30/3.2808)-1.9</f>
        <v>7.2441111923920989</v>
      </c>
      <c r="D20" s="163">
        <v>0</v>
      </c>
      <c r="E20" s="164">
        <v>0</v>
      </c>
      <c r="F20" s="165" t="s">
        <v>59</v>
      </c>
      <c r="G20" s="166" t="s">
        <v>48</v>
      </c>
      <c r="H20" s="167" t="s">
        <v>48</v>
      </c>
      <c r="I20" s="167" t="s">
        <v>48</v>
      </c>
      <c r="J20" s="167">
        <f>C20-L10</f>
        <v>0.16999999999999993</v>
      </c>
      <c r="K20" s="168">
        <v>1</v>
      </c>
      <c r="L20" s="169">
        <f>C20</f>
        <v>7.2441111923920989</v>
      </c>
      <c r="M20" s="170" t="s">
        <v>48</v>
      </c>
      <c r="N20" s="171" t="s">
        <v>48</v>
      </c>
      <c r="O20" s="171" t="s">
        <v>48</v>
      </c>
      <c r="P20" s="169">
        <f>C20-C10</f>
        <v>0.16999999999999993</v>
      </c>
      <c r="Q20" s="57">
        <f>Q9</f>
        <v>0.4366666666666667</v>
      </c>
      <c r="R20" s="172" t="s">
        <v>45</v>
      </c>
      <c r="S20" s="53">
        <f>P20*Q20</f>
        <v>7.4233333333333304E-2</v>
      </c>
      <c r="T20" s="169">
        <f>-S20</f>
        <v>-7.4233333333333304E-2</v>
      </c>
      <c r="U20" s="169">
        <f>T20+T15</f>
        <v>0.70784811021702043</v>
      </c>
      <c r="V20" s="164"/>
    </row>
    <row r="21" spans="1:25" x14ac:dyDescent="0.25">
      <c r="A21" s="46" t="s">
        <v>49</v>
      </c>
      <c r="B21" s="161">
        <v>42270</v>
      </c>
      <c r="C21" s="162">
        <f>12-4.74</f>
        <v>7.26</v>
      </c>
      <c r="D21" s="163">
        <v>0</v>
      </c>
      <c r="E21" s="164">
        <v>0</v>
      </c>
      <c r="F21" s="165" t="s">
        <v>19</v>
      </c>
      <c r="G21" s="166" t="s">
        <v>48</v>
      </c>
      <c r="H21" s="167" t="s">
        <v>48</v>
      </c>
      <c r="I21" s="167" t="s">
        <v>48</v>
      </c>
      <c r="J21" s="167" t="s">
        <v>48</v>
      </c>
      <c r="K21" s="168">
        <v>1</v>
      </c>
      <c r="L21" s="169">
        <f>C21</f>
        <v>7.26</v>
      </c>
      <c r="M21" s="170">
        <v>0.9</v>
      </c>
      <c r="N21" s="171">
        <f>L21*M21</f>
        <v>6.5339999999999998</v>
      </c>
      <c r="O21" s="171">
        <f>N21-N12</f>
        <v>-2.4660000000000002</v>
      </c>
      <c r="P21" s="169"/>
      <c r="Q21" s="57"/>
      <c r="R21" s="172"/>
      <c r="S21" s="53"/>
      <c r="T21" s="169">
        <f>O21-T16</f>
        <v>-2.94475</v>
      </c>
      <c r="U21" s="169">
        <f>O21</f>
        <v>-2.4660000000000002</v>
      </c>
      <c r="V21" s="164"/>
    </row>
    <row r="22" spans="1:25" s="673" customFormat="1" ht="15.75" thickBot="1" x14ac:dyDescent="0.3">
      <c r="A22" s="674" t="s">
        <v>50</v>
      </c>
      <c r="B22" s="687">
        <v>42270</v>
      </c>
      <c r="C22" s="688">
        <f>7.5-4.74</f>
        <v>2.76</v>
      </c>
      <c r="D22" s="689">
        <v>0</v>
      </c>
      <c r="E22" s="690">
        <v>0</v>
      </c>
      <c r="F22" s="691" t="s">
        <v>19</v>
      </c>
      <c r="G22" s="692" t="s">
        <v>48</v>
      </c>
      <c r="H22" s="693" t="s">
        <v>48</v>
      </c>
      <c r="I22" s="693" t="s">
        <v>48</v>
      </c>
      <c r="J22" s="693" t="s">
        <v>48</v>
      </c>
      <c r="K22" s="694">
        <v>1</v>
      </c>
      <c r="L22" s="695">
        <f>C22</f>
        <v>2.76</v>
      </c>
      <c r="M22" s="696">
        <v>0.9</v>
      </c>
      <c r="N22" s="697">
        <f>L22*M22</f>
        <v>2.484</v>
      </c>
      <c r="O22" s="697">
        <f>N22-N13</f>
        <v>-3.0510000000000002</v>
      </c>
      <c r="P22" s="695"/>
      <c r="Q22" s="698"/>
      <c r="R22" s="699"/>
      <c r="S22" s="681"/>
      <c r="T22" s="695">
        <f>O22-T17</f>
        <v>-3.2708699999999999</v>
      </c>
      <c r="U22" s="695">
        <f>O22</f>
        <v>-3.0510000000000002</v>
      </c>
      <c r="V22" s="690"/>
    </row>
    <row r="24" spans="1:25" ht="16.5" thickBot="1" x14ac:dyDescent="0.3">
      <c r="A24" s="1" t="s">
        <v>64</v>
      </c>
    </row>
    <row r="25" spans="1:25" x14ac:dyDescent="0.25">
      <c r="A25" s="217"/>
      <c r="B25" s="218"/>
      <c r="C25" s="717" t="s">
        <v>1</v>
      </c>
      <c r="D25" s="718"/>
      <c r="E25" s="719"/>
      <c r="F25" s="218"/>
      <c r="G25" s="720" t="s">
        <v>2</v>
      </c>
      <c r="H25" s="721"/>
      <c r="I25" s="721"/>
      <c r="J25" s="721"/>
      <c r="K25" s="722"/>
      <c r="L25" s="219"/>
      <c r="M25" s="220"/>
      <c r="N25" s="221" t="s">
        <v>65</v>
      </c>
      <c r="O25" s="222"/>
      <c r="P25" s="223"/>
      <c r="Q25" s="221" t="s">
        <v>66</v>
      </c>
      <c r="R25" s="221"/>
      <c r="S25" s="222"/>
      <c r="T25" s="224" t="s">
        <v>67</v>
      </c>
      <c r="U25" s="221"/>
      <c r="V25" s="221"/>
      <c r="W25" s="221"/>
      <c r="X25" s="221"/>
      <c r="Y25" s="222"/>
    </row>
    <row r="26" spans="1:25" ht="33.75" x14ac:dyDescent="0.25">
      <c r="A26" s="225" t="s">
        <v>8</v>
      </c>
      <c r="B26" s="225" t="s">
        <v>9</v>
      </c>
      <c r="C26" s="226" t="s">
        <v>68</v>
      </c>
      <c r="D26" s="227" t="s">
        <v>69</v>
      </c>
      <c r="E26" s="228" t="s">
        <v>70</v>
      </c>
      <c r="F26" s="225" t="s">
        <v>12</v>
      </c>
      <c r="G26" s="229" t="s">
        <v>71</v>
      </c>
      <c r="H26" s="230"/>
      <c r="I26" s="230" t="s">
        <v>15</v>
      </c>
      <c r="J26" s="230"/>
      <c r="K26" s="231"/>
      <c r="L26" s="232" t="s">
        <v>72</v>
      </c>
      <c r="M26" s="233" t="s">
        <v>18</v>
      </c>
      <c r="N26" s="234" t="s">
        <v>73</v>
      </c>
      <c r="O26" s="235"/>
      <c r="P26" s="233" t="s">
        <v>20</v>
      </c>
      <c r="Q26" s="236" t="s">
        <v>21</v>
      </c>
      <c r="R26" s="234" t="s">
        <v>74</v>
      </c>
      <c r="S26" s="237" t="s">
        <v>75</v>
      </c>
      <c r="T26" s="238" t="s">
        <v>76</v>
      </c>
      <c r="U26" s="239" t="s">
        <v>77</v>
      </c>
      <c r="V26" s="239" t="s">
        <v>78</v>
      </c>
      <c r="W26" s="240" t="s">
        <v>79</v>
      </c>
      <c r="X26" s="240" t="s">
        <v>80</v>
      </c>
      <c r="Y26" s="241" t="s">
        <v>81</v>
      </c>
    </row>
    <row r="27" spans="1:25" x14ac:dyDescent="0.25">
      <c r="A27" s="225" t="s">
        <v>25</v>
      </c>
      <c r="B27" s="225"/>
      <c r="C27" s="226"/>
      <c r="D27" s="227"/>
      <c r="E27" s="228"/>
      <c r="F27" s="242"/>
      <c r="G27" s="229"/>
      <c r="H27" s="230"/>
      <c r="I27" s="230"/>
      <c r="J27" s="230"/>
      <c r="K27" s="231"/>
      <c r="L27" s="225"/>
      <c r="M27" s="233"/>
      <c r="N27" s="243" t="s">
        <v>82</v>
      </c>
      <c r="O27" s="235"/>
      <c r="P27" s="233" t="s">
        <v>29</v>
      </c>
      <c r="Q27" s="244" t="s">
        <v>31</v>
      </c>
      <c r="R27" s="243"/>
      <c r="S27" s="235"/>
      <c r="T27" s="245"/>
      <c r="U27" s="246"/>
      <c r="V27" s="246"/>
      <c r="W27" s="247"/>
      <c r="X27" s="247"/>
      <c r="Y27" s="248"/>
    </row>
    <row r="28" spans="1:25" ht="15.75" thickBot="1" x14ac:dyDescent="0.3">
      <c r="A28" s="249"/>
      <c r="B28" s="249" t="s">
        <v>38</v>
      </c>
      <c r="C28" s="250" t="s">
        <v>39</v>
      </c>
      <c r="D28" s="251" t="s">
        <v>39</v>
      </c>
      <c r="E28" s="252" t="s">
        <v>39</v>
      </c>
      <c r="F28" s="253"/>
      <c r="G28" s="254" t="s">
        <v>39</v>
      </c>
      <c r="H28" s="255"/>
      <c r="I28" s="255" t="s">
        <v>40</v>
      </c>
      <c r="J28" s="255"/>
      <c r="K28" s="256"/>
      <c r="L28" s="249" t="s">
        <v>39</v>
      </c>
      <c r="M28" s="257" t="s">
        <v>83</v>
      </c>
      <c r="N28" s="258" t="s">
        <v>39</v>
      </c>
      <c r="O28" s="259"/>
      <c r="P28" s="257" t="s">
        <v>39</v>
      </c>
      <c r="Q28" s="260" t="s">
        <v>42</v>
      </c>
      <c r="R28" s="258"/>
      <c r="S28" s="259" t="s">
        <v>84</v>
      </c>
      <c r="T28" s="261" t="s">
        <v>85</v>
      </c>
      <c r="U28" s="262" t="s">
        <v>85</v>
      </c>
      <c r="V28" s="262" t="s">
        <v>85</v>
      </c>
      <c r="W28" s="262" t="s">
        <v>85</v>
      </c>
      <c r="X28" s="262" t="s">
        <v>85</v>
      </c>
      <c r="Y28" s="263"/>
    </row>
    <row r="29" spans="1:25" x14ac:dyDescent="0.25">
      <c r="A29" t="s">
        <v>192</v>
      </c>
      <c r="B29" s="534">
        <v>41872</v>
      </c>
      <c r="C29">
        <v>7.5</v>
      </c>
      <c r="D29">
        <v>1.35</v>
      </c>
      <c r="E29">
        <f>C29-D29</f>
        <v>6.15</v>
      </c>
      <c r="F29" t="s">
        <v>185</v>
      </c>
      <c r="G29">
        <v>0</v>
      </c>
      <c r="M29">
        <v>0.9</v>
      </c>
    </row>
    <row r="30" spans="1:25" x14ac:dyDescent="0.25">
      <c r="A30" t="s">
        <v>192</v>
      </c>
      <c r="B30" s="534">
        <v>42171</v>
      </c>
      <c r="C30">
        <v>7.5</v>
      </c>
      <c r="D30">
        <v>1.62</v>
      </c>
      <c r="E30">
        <f t="shared" ref="E30:E31" si="3">C30-D30</f>
        <v>5.88</v>
      </c>
      <c r="F30" t="s">
        <v>90</v>
      </c>
      <c r="G30">
        <f>'FedSampCores13-K53_2015.06.16'!I12/100</f>
        <v>0.21</v>
      </c>
      <c r="I30" s="657">
        <f>'FedSampCores13-K53_2015.06.16'!I3</f>
        <v>0.34899999999999998</v>
      </c>
      <c r="L30">
        <f>E30-G30</f>
        <v>5.67</v>
      </c>
      <c r="M30">
        <f>M29</f>
        <v>0.9</v>
      </c>
      <c r="N30">
        <f>L30-E29</f>
        <v>-0.48000000000000043</v>
      </c>
      <c r="P30" s="657">
        <f>I30</f>
        <v>0.34899999999999998</v>
      </c>
      <c r="Q30" s="657">
        <f>'FedSampCores13-K53_2015.06.16'!I4</f>
        <v>0.71579850527218947</v>
      </c>
      <c r="S30" s="657">
        <f>'FedSampCores13-K53_2015.06.16'!O12</f>
        <v>0.76418338108882522</v>
      </c>
      <c r="U30" s="657">
        <f>P30*Q30</f>
        <v>0.2498136783399941</v>
      </c>
      <c r="W30" s="657">
        <f>N30*M30</f>
        <v>-0.43200000000000038</v>
      </c>
      <c r="Y30" t="s">
        <v>196</v>
      </c>
    </row>
    <row r="31" spans="1:25" x14ac:dyDescent="0.25">
      <c r="A31" t="s">
        <v>192</v>
      </c>
      <c r="B31" s="534">
        <v>42270</v>
      </c>
      <c r="C31">
        <v>7.5</v>
      </c>
      <c r="D31">
        <v>4.74</v>
      </c>
      <c r="E31">
        <f t="shared" si="3"/>
        <v>2.76</v>
      </c>
      <c r="F31" t="s">
        <v>185</v>
      </c>
      <c r="G31">
        <v>0</v>
      </c>
      <c r="L31">
        <f>L30</f>
        <v>5.67</v>
      </c>
      <c r="M31">
        <f>M29</f>
        <v>0.9</v>
      </c>
      <c r="N31">
        <f>E31-L31</f>
        <v>-2.91</v>
      </c>
      <c r="T31" s="657">
        <f>V31-U30</f>
        <v>-2.8688136783399942</v>
      </c>
      <c r="V31" s="657">
        <f>M31*N31</f>
        <v>-2.6190000000000002</v>
      </c>
    </row>
    <row r="32" spans="1:25" x14ac:dyDescent="0.25">
      <c r="A32" t="s">
        <v>192</v>
      </c>
      <c r="B32" s="534">
        <v>42270</v>
      </c>
      <c r="F32" t="s">
        <v>154</v>
      </c>
      <c r="G32">
        <v>0.22</v>
      </c>
      <c r="P32">
        <f>G32</f>
        <v>0.22</v>
      </c>
      <c r="Q32" s="703">
        <v>0.25</v>
      </c>
      <c r="X32" s="657">
        <f>P32*Q32</f>
        <v>5.5E-2</v>
      </c>
    </row>
    <row r="33" spans="1:9" ht="15.75" thickBot="1" x14ac:dyDescent="0.3"/>
    <row r="34" spans="1:9" ht="23.25" x14ac:dyDescent="0.25">
      <c r="A34" s="494" t="s">
        <v>156</v>
      </c>
      <c r="B34" s="495"/>
      <c r="C34" s="540" t="s">
        <v>157</v>
      </c>
      <c r="D34" s="541"/>
      <c r="E34" s="470" t="s">
        <v>158</v>
      </c>
      <c r="F34" s="471"/>
      <c r="G34" s="470" t="s">
        <v>159</v>
      </c>
      <c r="H34" s="471"/>
      <c r="I34" s="472" t="s">
        <v>160</v>
      </c>
    </row>
    <row r="35" spans="1:9" ht="26.25" x14ac:dyDescent="0.25">
      <c r="A35" s="496"/>
      <c r="B35" s="497"/>
      <c r="C35" s="473" t="s">
        <v>161</v>
      </c>
      <c r="D35" s="474" t="s">
        <v>162</v>
      </c>
      <c r="E35" s="475">
        <f>B29</f>
        <v>41872</v>
      </c>
      <c r="F35" s="476"/>
      <c r="G35" s="539">
        <f>B30</f>
        <v>42171</v>
      </c>
      <c r="H35" s="476" t="s">
        <v>163</v>
      </c>
      <c r="I35" s="478">
        <f>B31</f>
        <v>42270</v>
      </c>
    </row>
    <row r="36" spans="1:9" x14ac:dyDescent="0.25">
      <c r="A36" s="479"/>
      <c r="B36" s="480" t="s">
        <v>164</v>
      </c>
      <c r="C36" s="481">
        <f>U30</f>
        <v>0.2498136783399941</v>
      </c>
      <c r="D36" s="481">
        <f>C36+C40-C39</f>
        <v>-0.18218632166000628</v>
      </c>
      <c r="E36" s="483"/>
      <c r="F36" s="483"/>
      <c r="G36" s="484"/>
      <c r="H36" s="481"/>
      <c r="I36" s="485"/>
    </row>
    <row r="37" spans="1:9" x14ac:dyDescent="0.25">
      <c r="A37" s="479"/>
      <c r="B37" s="480" t="s">
        <v>165</v>
      </c>
      <c r="C37" s="481">
        <f>T31</f>
        <v>-2.8688136783399942</v>
      </c>
      <c r="D37" s="481">
        <f>D38-D36</f>
        <v>-2.4368136783399938</v>
      </c>
      <c r="E37" s="483"/>
      <c r="F37" s="483"/>
      <c r="G37" s="484"/>
      <c r="H37" s="481"/>
      <c r="I37" s="485"/>
    </row>
    <row r="38" spans="1:9" x14ac:dyDescent="0.25">
      <c r="A38" s="479"/>
      <c r="B38" s="480" t="s">
        <v>166</v>
      </c>
      <c r="C38" s="481">
        <f>V31</f>
        <v>-2.6190000000000002</v>
      </c>
      <c r="D38" s="481">
        <f>C38+C41</f>
        <v>-2.6190000000000002</v>
      </c>
      <c r="E38" s="483"/>
      <c r="F38" s="483"/>
      <c r="G38" s="484"/>
      <c r="H38" s="481"/>
      <c r="I38" s="485"/>
    </row>
    <row r="39" spans="1:9" x14ac:dyDescent="0.25">
      <c r="A39" s="479"/>
      <c r="B39" s="486" t="s">
        <v>167</v>
      </c>
      <c r="C39" s="481">
        <v>0</v>
      </c>
      <c r="D39" s="481"/>
      <c r="E39" s="483"/>
      <c r="F39" s="483"/>
      <c r="G39" s="481"/>
      <c r="H39" s="481"/>
      <c r="I39" s="485"/>
    </row>
    <row r="40" spans="1:9" x14ac:dyDescent="0.25">
      <c r="A40" s="479"/>
      <c r="B40" s="487" t="s">
        <v>168</v>
      </c>
      <c r="C40" s="481">
        <f>W30</f>
        <v>-0.43200000000000038</v>
      </c>
      <c r="D40" s="481"/>
      <c r="E40" s="483"/>
      <c r="F40" s="483"/>
      <c r="G40" s="481"/>
      <c r="H40" s="481"/>
      <c r="I40" s="485"/>
    </row>
    <row r="41" spans="1:9" ht="15.75" thickBot="1" x14ac:dyDescent="0.3">
      <c r="A41" s="488"/>
      <c r="B41" s="489" t="s">
        <v>169</v>
      </c>
      <c r="C41" s="490">
        <f>X27</f>
        <v>0</v>
      </c>
      <c r="D41" s="490"/>
      <c r="E41" s="491"/>
      <c r="F41" s="491"/>
      <c r="G41" s="492"/>
      <c r="H41" s="492"/>
      <c r="I41" s="493"/>
    </row>
  </sheetData>
  <mergeCells count="5">
    <mergeCell ref="M2:O2"/>
    <mergeCell ref="P2:S2"/>
    <mergeCell ref="D3:E3"/>
    <mergeCell ref="C25:E25"/>
    <mergeCell ref="G25:K2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50B1-4741-43A9-A836-9445D22CFA07}">
  <dimension ref="A1:Z153"/>
  <sheetViews>
    <sheetView workbookViewId="0">
      <selection activeCell="D26" sqref="D26"/>
    </sheetView>
  </sheetViews>
  <sheetFormatPr defaultColWidth="7.85546875" defaultRowHeight="11.25" x14ac:dyDescent="0.2"/>
  <cols>
    <col min="1" max="1" width="22.7109375" style="348" customWidth="1"/>
    <col min="2" max="2" width="22" style="348" customWidth="1"/>
    <col min="3" max="3" width="15.42578125" style="397" customWidth="1"/>
    <col min="4" max="4" width="14.28515625" style="397" customWidth="1"/>
    <col min="5" max="5" width="11.85546875" style="397" customWidth="1"/>
    <col min="6" max="6" width="18.28515625" style="397" customWidth="1"/>
    <col min="7" max="7" width="13.7109375" style="345" customWidth="1"/>
    <col min="8" max="8" width="18.7109375" style="384" customWidth="1"/>
    <col min="9" max="9" width="10.7109375" style="345" customWidth="1"/>
    <col min="10" max="10" width="8.5703125" style="345" customWidth="1"/>
    <col min="11" max="11" width="13.5703125" style="353" customWidth="1"/>
    <col min="12" max="12" width="14.5703125" style="386" customWidth="1"/>
    <col min="13" max="13" width="10.28515625" style="348" customWidth="1"/>
    <col min="14" max="14" width="5.7109375" style="348" bestFit="1" customWidth="1"/>
    <col min="15" max="15" width="16.5703125" style="347" customWidth="1"/>
    <col min="16" max="16" width="5.85546875" style="396" bestFit="1" customWidth="1"/>
    <col min="17" max="17" width="14" style="349" bestFit="1" customWidth="1"/>
    <col min="18" max="18" width="6" style="349" bestFit="1" customWidth="1"/>
    <col min="19" max="19" width="8.7109375" style="349" bestFit="1" customWidth="1"/>
    <col min="20" max="21" width="17.28515625" style="348" bestFit="1" customWidth="1"/>
    <col min="22" max="22" width="9.28515625" style="348" bestFit="1" customWidth="1"/>
    <col min="23" max="27" width="5.28515625" style="348" customWidth="1"/>
    <col min="28" max="28" width="17" style="348" customWidth="1"/>
    <col min="29" max="16384" width="7.85546875" style="348"/>
  </cols>
  <sheetData>
    <row r="1" spans="1:24" s="322" customFormat="1" ht="12.75" x14ac:dyDescent="0.2">
      <c r="A1" s="314" t="s">
        <v>91</v>
      </c>
      <c r="B1" s="315" t="s">
        <v>92</v>
      </c>
      <c r="C1" s="316"/>
      <c r="D1" s="315"/>
      <c r="E1" s="317"/>
      <c r="F1" s="317"/>
      <c r="G1" s="318"/>
      <c r="H1" s="319" t="s">
        <v>93</v>
      </c>
      <c r="I1" s="320">
        <f>MAX(A12:A14)*2.54/100</f>
        <v>0.26669999999999999</v>
      </c>
      <c r="J1" s="321" t="s">
        <v>94</v>
      </c>
      <c r="K1" s="315"/>
      <c r="L1" s="315"/>
      <c r="N1" s="323"/>
      <c r="P1" s="324"/>
      <c r="Q1" s="324"/>
      <c r="R1" s="324"/>
      <c r="S1" s="324"/>
    </row>
    <row r="2" spans="1:24" s="322" customFormat="1" ht="12.75" x14ac:dyDescent="0.2">
      <c r="A2" s="325" t="s">
        <v>95</v>
      </c>
      <c r="B2" s="315" t="s">
        <v>193</v>
      </c>
      <c r="C2" s="326"/>
      <c r="D2" s="315"/>
      <c r="E2" s="327"/>
      <c r="F2" s="327"/>
      <c r="G2" s="328"/>
      <c r="H2" s="329" t="s">
        <v>97</v>
      </c>
      <c r="I2" s="330">
        <f>I12/100</f>
        <v>0.21</v>
      </c>
      <c r="J2" s="331" t="s">
        <v>98</v>
      </c>
      <c r="K2" s="315"/>
      <c r="L2" s="315"/>
      <c r="N2" s="332"/>
      <c r="P2" s="324"/>
      <c r="Q2" s="324"/>
      <c r="R2" s="324"/>
      <c r="S2" s="324"/>
    </row>
    <row r="3" spans="1:24" s="335" customFormat="1" ht="11.25" customHeight="1" x14ac:dyDescent="0.2">
      <c r="A3" s="333" t="s">
        <v>99</v>
      </c>
      <c r="B3" s="334">
        <v>42171</v>
      </c>
      <c r="C3" s="326"/>
      <c r="D3" s="327"/>
      <c r="E3" s="327"/>
      <c r="F3" s="327"/>
      <c r="G3" s="328"/>
      <c r="H3" s="333" t="s">
        <v>100</v>
      </c>
      <c r="I3" s="330">
        <f>AVERAGE(I12:I21)/100</f>
        <v>0.34899999999999998</v>
      </c>
      <c r="J3" s="331"/>
      <c r="K3" s="315"/>
      <c r="L3" s="315"/>
      <c r="N3" s="336"/>
      <c r="P3" s="337"/>
      <c r="Q3" s="337"/>
      <c r="R3" s="337"/>
      <c r="S3" s="337"/>
    </row>
    <row r="4" spans="1:24" s="322" customFormat="1" ht="12.75" x14ac:dyDescent="0.2">
      <c r="A4" s="333" t="s">
        <v>101</v>
      </c>
      <c r="B4" s="338" t="s">
        <v>197</v>
      </c>
      <c r="C4" s="326"/>
      <c r="D4" s="327"/>
      <c r="E4" s="327"/>
      <c r="F4" s="327"/>
      <c r="G4" s="328"/>
      <c r="H4" s="333" t="s">
        <v>103</v>
      </c>
      <c r="I4" s="330">
        <f>AVERAGE(E12:E14)</f>
        <v>0.71579850527218947</v>
      </c>
      <c r="J4" s="331"/>
      <c r="K4" s="315"/>
      <c r="L4" s="315"/>
      <c r="M4" s="323"/>
      <c r="N4" s="323"/>
      <c r="P4" s="324"/>
      <c r="Q4" s="324"/>
      <c r="R4" s="324"/>
      <c r="S4" s="324"/>
    </row>
    <row r="5" spans="1:24" s="343" customFormat="1" ht="12.75" x14ac:dyDescent="0.2">
      <c r="A5" s="325" t="s">
        <v>104</v>
      </c>
      <c r="B5" s="339" t="s">
        <v>105</v>
      </c>
      <c r="C5" s="326"/>
      <c r="D5" s="327"/>
      <c r="E5" s="327"/>
      <c r="F5" s="340"/>
      <c r="G5" s="340"/>
      <c r="H5" s="333"/>
      <c r="I5" s="341"/>
      <c r="J5" s="331"/>
      <c r="K5" s="315"/>
      <c r="L5" s="315"/>
      <c r="M5" s="342"/>
      <c r="N5" s="342"/>
      <c r="P5" s="344"/>
      <c r="Q5" s="344"/>
      <c r="R5" s="344"/>
      <c r="S5" s="344"/>
    </row>
    <row r="6" spans="1:24" x14ac:dyDescent="0.2">
      <c r="A6" s="345"/>
      <c r="B6" s="345"/>
      <c r="C6" s="345"/>
      <c r="D6" s="345"/>
      <c r="E6" s="346"/>
      <c r="F6" s="342"/>
      <c r="G6" s="342"/>
      <c r="H6" s="347"/>
      <c r="I6" s="347"/>
      <c r="J6" s="348"/>
      <c r="K6" s="348"/>
      <c r="L6" s="347"/>
      <c r="M6" s="347"/>
      <c r="O6" s="348"/>
      <c r="P6" s="349"/>
    </row>
    <row r="7" spans="1:24" x14ac:dyDescent="0.2">
      <c r="A7" s="345"/>
      <c r="B7" s="345"/>
      <c r="C7" s="345"/>
      <c r="D7" s="345"/>
      <c r="E7" s="346"/>
      <c r="F7" s="350"/>
      <c r="G7" s="351"/>
      <c r="H7" s="347"/>
      <c r="I7" s="347"/>
      <c r="J7" s="348"/>
      <c r="K7" s="348"/>
      <c r="L7" s="347"/>
      <c r="M7" s="347"/>
      <c r="O7" s="348"/>
      <c r="P7" s="349"/>
    </row>
    <row r="8" spans="1:24" ht="12" thickBot="1" x14ac:dyDescent="0.25">
      <c r="A8" s="345"/>
      <c r="B8" s="345"/>
      <c r="C8" s="352"/>
      <c r="D8" s="352"/>
      <c r="E8" s="353"/>
      <c r="F8" s="348"/>
      <c r="G8" s="348"/>
      <c r="H8" s="322" t="s">
        <v>106</v>
      </c>
      <c r="I8" s="347"/>
      <c r="J8" s="348"/>
      <c r="K8" s="322" t="s">
        <v>107</v>
      </c>
      <c r="L8" s="347"/>
      <c r="M8" s="347"/>
      <c r="O8" s="323" t="s">
        <v>108</v>
      </c>
      <c r="P8" s="349"/>
    </row>
    <row r="9" spans="1:24" x14ac:dyDescent="0.2">
      <c r="A9" s="354"/>
      <c r="B9" s="355"/>
      <c r="C9" s="347"/>
      <c r="D9" s="347"/>
      <c r="E9" s="355"/>
      <c r="F9" s="355"/>
      <c r="G9" s="356"/>
      <c r="H9" s="354"/>
      <c r="I9" s="357"/>
      <c r="J9" s="356"/>
      <c r="K9" s="358"/>
      <c r="L9" s="359"/>
      <c r="M9" s="360"/>
      <c r="P9" s="349"/>
      <c r="W9" s="347"/>
      <c r="X9" s="347"/>
    </row>
    <row r="10" spans="1:24" x14ac:dyDescent="0.2">
      <c r="A10" s="361" t="s">
        <v>109</v>
      </c>
      <c r="B10" s="350" t="s">
        <v>110</v>
      </c>
      <c r="C10" s="362" t="s">
        <v>111</v>
      </c>
      <c r="D10" s="363" t="s">
        <v>112</v>
      </c>
      <c r="E10" s="350" t="s">
        <v>18</v>
      </c>
      <c r="F10" s="364" t="s">
        <v>81</v>
      </c>
      <c r="G10" s="356"/>
      <c r="H10" s="350" t="s">
        <v>113</v>
      </c>
      <c r="I10" s="365" t="s">
        <v>114</v>
      </c>
      <c r="J10" s="348"/>
      <c r="K10" s="366" t="s">
        <v>115</v>
      </c>
      <c r="L10" s="332" t="s">
        <v>116</v>
      </c>
      <c r="M10" s="367" t="s">
        <v>117</v>
      </c>
      <c r="O10" s="322" t="s">
        <v>75</v>
      </c>
      <c r="P10" s="349"/>
      <c r="W10" s="368"/>
    </row>
    <row r="11" spans="1:24" ht="12" thickBot="1" x14ac:dyDescent="0.25">
      <c r="A11" s="369" t="s">
        <v>118</v>
      </c>
      <c r="B11" s="370" t="s">
        <v>118</v>
      </c>
      <c r="C11" s="371" t="s">
        <v>119</v>
      </c>
      <c r="D11" s="372" t="s">
        <v>119</v>
      </c>
      <c r="E11" s="373" t="s">
        <v>83</v>
      </c>
      <c r="F11" s="374"/>
      <c r="G11" s="356"/>
      <c r="H11" s="375"/>
      <c r="I11" s="376" t="s">
        <v>120</v>
      </c>
      <c r="J11" s="348"/>
      <c r="K11" s="377"/>
      <c r="L11" s="378"/>
      <c r="M11" s="379" t="s">
        <v>121</v>
      </c>
      <c r="O11" s="348" t="s">
        <v>84</v>
      </c>
      <c r="P11" s="349"/>
      <c r="W11" s="347"/>
    </row>
    <row r="12" spans="1:24" x14ac:dyDescent="0.2">
      <c r="A12" s="384">
        <v>10.5</v>
      </c>
      <c r="C12" s="702">
        <v>20</v>
      </c>
      <c r="D12" s="381">
        <v>12</v>
      </c>
      <c r="E12" s="382">
        <f>(C12-D12)/A12</f>
        <v>0.76190476190476186</v>
      </c>
      <c r="F12" s="656"/>
      <c r="G12" s="348"/>
      <c r="H12" s="348" t="s">
        <v>170</v>
      </c>
      <c r="I12" s="348">
        <v>21</v>
      </c>
      <c r="J12" s="348"/>
      <c r="K12" s="348">
        <v>10414776</v>
      </c>
      <c r="L12" s="656" t="s">
        <v>194</v>
      </c>
      <c r="M12" s="383"/>
      <c r="O12" s="349">
        <f>I1/I3</f>
        <v>0.76418338108882522</v>
      </c>
      <c r="P12" s="349"/>
    </row>
    <row r="13" spans="1:24" x14ac:dyDescent="0.2">
      <c r="A13" s="384">
        <v>9.5</v>
      </c>
      <c r="C13" s="349">
        <v>19</v>
      </c>
      <c r="D13" s="384">
        <v>12</v>
      </c>
      <c r="E13" s="385">
        <f>(C13-D13)/A13</f>
        <v>0.73684210526315785</v>
      </c>
      <c r="F13" s="348"/>
      <c r="G13" s="348"/>
      <c r="H13" s="348" t="s">
        <v>126</v>
      </c>
      <c r="I13" s="348">
        <v>37</v>
      </c>
      <c r="J13" s="348"/>
      <c r="K13" s="348">
        <v>10414778</v>
      </c>
      <c r="L13" s="656" t="s">
        <v>195</v>
      </c>
      <c r="O13" s="348"/>
      <c r="P13" s="349"/>
    </row>
    <row r="14" spans="1:24" x14ac:dyDescent="0.2">
      <c r="A14" s="384">
        <v>9.25</v>
      </c>
      <c r="C14" s="349">
        <v>18</v>
      </c>
      <c r="D14" s="384">
        <v>12</v>
      </c>
      <c r="E14" s="385">
        <f>(C14-D14)/A14</f>
        <v>0.64864864864864868</v>
      </c>
      <c r="F14" s="386"/>
      <c r="G14" s="348"/>
      <c r="H14" s="348" t="s">
        <v>126</v>
      </c>
      <c r="I14" s="348">
        <v>41</v>
      </c>
      <c r="J14" s="348"/>
      <c r="K14" s="348"/>
      <c r="L14" s="348"/>
      <c r="O14" s="348"/>
      <c r="P14" s="349"/>
    </row>
    <row r="15" spans="1:24" x14ac:dyDescent="0.2">
      <c r="A15" s="384"/>
      <c r="B15" s="384"/>
      <c r="C15" s="384"/>
      <c r="D15" s="384"/>
      <c r="E15" s="353"/>
      <c r="F15" s="386"/>
      <c r="G15" s="348"/>
      <c r="H15" s="348" t="s">
        <v>126</v>
      </c>
      <c r="I15" s="348">
        <v>49</v>
      </c>
      <c r="J15" s="348"/>
      <c r="K15" s="348" t="s">
        <v>98</v>
      </c>
      <c r="L15" s="348"/>
      <c r="O15" s="348"/>
      <c r="P15" s="349"/>
    </row>
    <row r="16" spans="1:24" ht="15" x14ac:dyDescent="0.25">
      <c r="A16"/>
      <c r="B16"/>
      <c r="C16"/>
      <c r="D16"/>
      <c r="E16"/>
      <c r="F16" s="386"/>
      <c r="G16" s="348"/>
      <c r="H16" s="348" t="s">
        <v>126</v>
      </c>
      <c r="I16" s="348">
        <v>47</v>
      </c>
      <c r="J16" s="348"/>
      <c r="K16" s="348"/>
      <c r="L16" s="348"/>
      <c r="O16" s="348"/>
      <c r="P16" s="349"/>
    </row>
    <row r="17" spans="1:9" s="343" customFormat="1" ht="15" x14ac:dyDescent="0.25">
      <c r="A17"/>
      <c r="B17"/>
      <c r="C17"/>
      <c r="D17"/>
      <c r="E17"/>
      <c r="H17" s="348" t="s">
        <v>127</v>
      </c>
      <c r="I17" s="348">
        <v>32.5</v>
      </c>
    </row>
    <row r="18" spans="1:9" s="342" customFormat="1" ht="15" x14ac:dyDescent="0.25">
      <c r="A18"/>
      <c r="B18"/>
      <c r="C18"/>
      <c r="D18"/>
      <c r="E18"/>
      <c r="H18" s="348" t="s">
        <v>127</v>
      </c>
      <c r="I18" s="388">
        <v>37</v>
      </c>
    </row>
    <row r="19" spans="1:9" s="343" customFormat="1" ht="13.35" customHeight="1" x14ac:dyDescent="0.2">
      <c r="H19" s="348" t="s">
        <v>127</v>
      </c>
      <c r="I19" s="388">
        <v>31.5</v>
      </c>
    </row>
    <row r="20" spans="1:9" s="389" customFormat="1" ht="15" x14ac:dyDescent="0.25">
      <c r="A20"/>
      <c r="B20"/>
      <c r="C20"/>
      <c r="D20"/>
      <c r="E20"/>
      <c r="F20"/>
      <c r="H20" s="348" t="s">
        <v>127</v>
      </c>
      <c r="I20" s="390">
        <v>40</v>
      </c>
    </row>
    <row r="21" spans="1:9" s="392" customFormat="1" ht="13.35" customHeight="1" x14ac:dyDescent="0.25">
      <c r="A21" s="391"/>
      <c r="B21" s="391"/>
      <c r="C21" s="391"/>
      <c r="D21" s="391"/>
      <c r="E21" s="391"/>
      <c r="F21"/>
      <c r="H21" s="348" t="s">
        <v>127</v>
      </c>
      <c r="I21" s="393">
        <v>13</v>
      </c>
    </row>
    <row r="22" spans="1:9" s="392" customFormat="1" ht="15" x14ac:dyDescent="0.25">
      <c r="A22"/>
      <c r="B22"/>
      <c r="C22"/>
      <c r="D22"/>
      <c r="E22"/>
      <c r="F22"/>
    </row>
    <row r="23" spans="1:9" s="392" customFormat="1" ht="15" x14ac:dyDescent="0.25">
      <c r="A23"/>
      <c r="B23"/>
      <c r="C23"/>
      <c r="D23"/>
      <c r="E23"/>
      <c r="F23"/>
    </row>
    <row r="24" spans="1:9" s="392" customFormat="1" ht="15" x14ac:dyDescent="0.25">
      <c r="A24"/>
      <c r="B24"/>
      <c r="C24"/>
      <c r="D24"/>
      <c r="E24"/>
      <c r="F24"/>
    </row>
    <row r="25" spans="1:9" s="392" customFormat="1" x14ac:dyDescent="0.25"/>
    <row r="26" spans="1:9" s="394" customFormat="1" x14ac:dyDescent="0.25"/>
    <row r="27" spans="1:9" s="394" customFormat="1" x14ac:dyDescent="0.25"/>
    <row r="28" spans="1:9" s="394" customFormat="1" x14ac:dyDescent="0.25"/>
    <row r="29" spans="1:9" s="394" customFormat="1" x14ac:dyDescent="0.25"/>
    <row r="30" spans="1:9" s="394" customFormat="1" x14ac:dyDescent="0.25"/>
    <row r="31" spans="1:9" s="394" customFormat="1" x14ac:dyDescent="0.25"/>
    <row r="32" spans="1:9" s="394" customFormat="1" x14ac:dyDescent="0.25"/>
    <row r="33" spans="1:19" s="394" customFormat="1" x14ac:dyDescent="0.25"/>
    <row r="34" spans="1:19" x14ac:dyDescent="0.2">
      <c r="A34" s="394"/>
      <c r="C34" s="348"/>
      <c r="D34" s="348"/>
      <c r="E34" s="348"/>
      <c r="F34" s="348"/>
      <c r="G34" s="348"/>
      <c r="H34" s="348"/>
      <c r="I34" s="348"/>
      <c r="J34" s="348"/>
      <c r="K34" s="348"/>
      <c r="L34" s="348"/>
      <c r="O34" s="348"/>
      <c r="P34" s="348"/>
      <c r="Q34" s="348"/>
      <c r="R34" s="348"/>
      <c r="S34" s="348"/>
    </row>
    <row r="35" spans="1:19" x14ac:dyDescent="0.2">
      <c r="A35" s="394"/>
      <c r="C35" s="348"/>
      <c r="D35" s="348"/>
      <c r="E35" s="348"/>
      <c r="F35" s="348"/>
      <c r="G35" s="348"/>
      <c r="H35" s="348"/>
      <c r="I35" s="348"/>
      <c r="J35" s="348"/>
      <c r="K35" s="348"/>
      <c r="L35" s="348"/>
      <c r="O35" s="348"/>
      <c r="P35" s="348"/>
      <c r="Q35" s="348"/>
      <c r="R35" s="348"/>
      <c r="S35" s="348"/>
    </row>
    <row r="36" spans="1:19" ht="15" x14ac:dyDescent="0.25">
      <c r="A36" s="394"/>
      <c r="C36"/>
      <c r="D36" s="348"/>
      <c r="E36" s="348"/>
      <c r="F36" s="348"/>
      <c r="G36" s="348"/>
      <c r="H36" s="348"/>
      <c r="I36" s="348"/>
      <c r="J36" s="348"/>
      <c r="K36" s="348"/>
      <c r="L36" s="348"/>
      <c r="O36" s="348"/>
      <c r="P36" s="348"/>
      <c r="Q36" s="348"/>
      <c r="R36" s="348"/>
      <c r="S36" s="348"/>
    </row>
    <row r="37" spans="1:19" x14ac:dyDescent="0.2">
      <c r="A37" s="394"/>
      <c r="C37" s="348"/>
      <c r="D37" s="348"/>
      <c r="E37" s="348"/>
      <c r="F37" s="348"/>
      <c r="G37" s="348"/>
      <c r="H37" s="348"/>
      <c r="I37" s="348"/>
      <c r="J37" s="348"/>
      <c r="K37" s="348"/>
      <c r="L37" s="348"/>
      <c r="O37" s="348"/>
      <c r="P37" s="348"/>
      <c r="Q37" s="348"/>
      <c r="R37" s="348"/>
      <c r="S37" s="348"/>
    </row>
    <row r="38" spans="1:19" x14ac:dyDescent="0.2">
      <c r="A38" s="394"/>
      <c r="C38" s="348"/>
      <c r="D38" s="348"/>
      <c r="E38" s="348"/>
      <c r="F38" s="348"/>
      <c r="G38" s="348"/>
      <c r="H38" s="348"/>
      <c r="I38" s="348"/>
      <c r="J38" s="348"/>
      <c r="K38" s="348"/>
      <c r="L38" s="348"/>
      <c r="O38" s="348"/>
      <c r="P38" s="348"/>
      <c r="Q38" s="348"/>
      <c r="R38" s="348"/>
      <c r="S38" s="348"/>
    </row>
    <row r="39" spans="1:19" x14ac:dyDescent="0.2">
      <c r="C39" s="348"/>
      <c r="D39" s="348"/>
      <c r="E39" s="348"/>
      <c r="F39" s="348"/>
      <c r="G39" s="348"/>
      <c r="H39" s="348"/>
      <c r="I39" s="348"/>
      <c r="J39" s="348"/>
      <c r="K39" s="348"/>
      <c r="L39" s="348"/>
      <c r="O39" s="348"/>
      <c r="P39" s="348"/>
      <c r="Q39" s="348"/>
      <c r="R39" s="348"/>
      <c r="S39" s="348"/>
    </row>
    <row r="40" spans="1:19" x14ac:dyDescent="0.2">
      <c r="C40" s="348"/>
      <c r="D40" s="348"/>
      <c r="E40" s="348"/>
      <c r="F40" s="348"/>
      <c r="G40" s="348"/>
      <c r="H40" s="348"/>
      <c r="I40" s="348"/>
      <c r="J40" s="348"/>
      <c r="K40" s="348"/>
      <c r="L40" s="348"/>
      <c r="O40" s="348"/>
      <c r="P40" s="348"/>
      <c r="Q40" s="348"/>
      <c r="R40" s="348"/>
      <c r="S40" s="348"/>
    </row>
    <row r="41" spans="1:19" x14ac:dyDescent="0.2">
      <c r="C41" s="348"/>
      <c r="D41" s="348"/>
      <c r="E41" s="348"/>
      <c r="F41" s="348"/>
      <c r="G41" s="348"/>
      <c r="H41" s="348"/>
      <c r="I41" s="348"/>
      <c r="J41" s="348"/>
      <c r="K41" s="348"/>
      <c r="L41" s="348"/>
      <c r="O41" s="348"/>
      <c r="P41" s="348"/>
      <c r="Q41" s="348"/>
      <c r="R41" s="348"/>
      <c r="S41" s="348"/>
    </row>
    <row r="42" spans="1:19" x14ac:dyDescent="0.2">
      <c r="C42" s="348"/>
      <c r="D42" s="348"/>
      <c r="E42" s="348"/>
      <c r="F42" s="348"/>
      <c r="G42" s="348"/>
      <c r="H42" s="348"/>
      <c r="I42" s="348"/>
      <c r="J42" s="348"/>
      <c r="K42" s="348"/>
      <c r="L42" s="348"/>
      <c r="O42" s="348"/>
      <c r="P42" s="348"/>
      <c r="Q42" s="348"/>
      <c r="R42" s="348"/>
      <c r="S42" s="348"/>
    </row>
    <row r="43" spans="1:19" x14ac:dyDescent="0.2">
      <c r="C43" s="348"/>
      <c r="D43" s="348"/>
      <c r="E43" s="348"/>
      <c r="F43" s="348"/>
      <c r="G43" s="348"/>
      <c r="H43" s="348"/>
      <c r="I43" s="348"/>
      <c r="J43" s="348"/>
      <c r="K43" s="348"/>
      <c r="L43" s="348"/>
      <c r="O43" s="348"/>
      <c r="P43" s="348"/>
      <c r="Q43" s="348"/>
      <c r="R43" s="348"/>
      <c r="S43" s="348"/>
    </row>
    <row r="44" spans="1:19" x14ac:dyDescent="0.2">
      <c r="C44" s="348"/>
      <c r="D44" s="348"/>
      <c r="E44" s="348"/>
      <c r="F44" s="348"/>
      <c r="G44" s="348"/>
      <c r="H44" s="348"/>
      <c r="I44" s="348"/>
      <c r="J44" s="348"/>
      <c r="K44" s="348"/>
      <c r="L44" s="348"/>
      <c r="O44" s="348"/>
      <c r="P44" s="348"/>
      <c r="Q44" s="348"/>
      <c r="R44" s="348"/>
      <c r="S44" s="348"/>
    </row>
    <row r="45" spans="1:19" x14ac:dyDescent="0.2">
      <c r="C45" s="348"/>
      <c r="D45" s="348"/>
      <c r="E45" s="348"/>
      <c r="F45" s="348"/>
      <c r="G45" s="348"/>
      <c r="H45" s="348"/>
      <c r="I45" s="347"/>
      <c r="J45" s="348"/>
      <c r="K45" s="348"/>
      <c r="L45" s="347"/>
      <c r="M45" s="347"/>
      <c r="O45" s="348"/>
      <c r="P45" s="349"/>
    </row>
    <row r="46" spans="1:19" x14ac:dyDescent="0.2">
      <c r="C46" s="348"/>
      <c r="D46" s="348"/>
      <c r="E46" s="348"/>
      <c r="F46" s="348"/>
      <c r="G46" s="348"/>
      <c r="H46" s="348"/>
      <c r="I46" s="347"/>
      <c r="J46" s="348"/>
      <c r="K46" s="348"/>
      <c r="L46" s="347"/>
      <c r="M46" s="347"/>
      <c r="O46" s="348"/>
      <c r="P46" s="349"/>
    </row>
    <row r="47" spans="1:19" x14ac:dyDescent="0.2">
      <c r="C47" s="348"/>
      <c r="D47" s="348"/>
      <c r="E47" s="348"/>
      <c r="F47" s="348"/>
      <c r="G47" s="348"/>
      <c r="H47" s="348"/>
      <c r="I47" s="347"/>
      <c r="J47" s="348"/>
      <c r="K47" s="348"/>
      <c r="L47" s="347"/>
      <c r="M47" s="347"/>
      <c r="O47" s="348"/>
      <c r="P47" s="349"/>
    </row>
    <row r="48" spans="1:19" x14ac:dyDescent="0.2">
      <c r="C48" s="348"/>
      <c r="D48" s="348"/>
      <c r="E48" s="348"/>
      <c r="F48" s="348"/>
      <c r="G48" s="348"/>
      <c r="H48" s="348"/>
      <c r="I48" s="348"/>
      <c r="J48" s="395"/>
      <c r="K48" s="348"/>
      <c r="L48" s="347"/>
      <c r="M48" s="347"/>
      <c r="O48" s="348"/>
      <c r="P48" s="349"/>
    </row>
    <row r="49" spans="1:26" x14ac:dyDescent="0.2">
      <c r="C49" s="348"/>
      <c r="D49" s="348"/>
      <c r="E49" s="348"/>
      <c r="F49" s="348"/>
      <c r="G49" s="348"/>
      <c r="H49" s="348"/>
      <c r="I49" s="348"/>
      <c r="J49" s="395"/>
      <c r="K49" s="348"/>
      <c r="L49" s="347"/>
      <c r="M49" s="347"/>
      <c r="O49" s="348"/>
      <c r="P49" s="349"/>
    </row>
    <row r="50" spans="1:26" x14ac:dyDescent="0.2">
      <c r="A50" s="345"/>
      <c r="B50" s="345"/>
      <c r="C50" s="345"/>
      <c r="D50" s="345"/>
      <c r="E50" s="353"/>
      <c r="F50" s="386"/>
      <c r="G50" s="348"/>
      <c r="H50" s="348"/>
      <c r="I50" s="347"/>
      <c r="J50" s="348"/>
      <c r="K50" s="348"/>
      <c r="L50" s="347"/>
      <c r="M50" s="347"/>
      <c r="O50" s="348"/>
      <c r="P50" s="349"/>
    </row>
    <row r="51" spans="1:26" x14ac:dyDescent="0.2">
      <c r="A51" s="345"/>
      <c r="B51" s="345"/>
      <c r="C51" s="345"/>
      <c r="D51" s="345"/>
      <c r="E51" s="353"/>
      <c r="F51" s="386"/>
      <c r="G51" s="348"/>
      <c r="H51" s="348"/>
      <c r="I51" s="347"/>
      <c r="J51" s="348"/>
      <c r="K51" s="348"/>
      <c r="L51" s="347"/>
      <c r="M51" s="347"/>
      <c r="O51" s="348"/>
      <c r="P51" s="349"/>
    </row>
    <row r="52" spans="1:26" x14ac:dyDescent="0.2">
      <c r="A52" s="345"/>
      <c r="B52" s="345"/>
      <c r="C52" s="345"/>
      <c r="D52" s="345"/>
      <c r="E52" s="353"/>
      <c r="F52" s="386"/>
      <c r="G52" s="348"/>
      <c r="H52" s="348"/>
      <c r="I52" s="347"/>
      <c r="J52" s="348"/>
      <c r="K52" s="348"/>
      <c r="L52" s="347"/>
      <c r="M52" s="347"/>
      <c r="O52" s="348"/>
      <c r="P52" s="349"/>
    </row>
    <row r="53" spans="1:26" x14ac:dyDescent="0.2">
      <c r="A53" s="345"/>
      <c r="B53" s="345"/>
      <c r="C53" s="345"/>
      <c r="D53" s="345"/>
      <c r="E53" s="353"/>
      <c r="F53" s="386"/>
      <c r="G53" s="348"/>
      <c r="H53" s="348"/>
      <c r="I53" s="347"/>
      <c r="J53" s="348"/>
      <c r="K53" s="348"/>
      <c r="L53" s="347"/>
      <c r="M53" s="347"/>
      <c r="O53" s="348"/>
      <c r="P53" s="349"/>
    </row>
    <row r="54" spans="1:26" x14ac:dyDescent="0.2">
      <c r="A54" s="345"/>
      <c r="B54" s="345"/>
      <c r="C54" s="345"/>
      <c r="D54" s="345"/>
      <c r="E54" s="353"/>
      <c r="F54" s="386"/>
      <c r="G54" s="348"/>
      <c r="H54" s="348"/>
      <c r="I54" s="347"/>
      <c r="J54" s="348"/>
      <c r="K54" s="348"/>
      <c r="L54" s="347"/>
      <c r="M54" s="347"/>
      <c r="O54" s="348"/>
      <c r="P54" s="349"/>
    </row>
    <row r="55" spans="1:26" x14ac:dyDescent="0.2">
      <c r="A55" s="345"/>
      <c r="B55" s="345"/>
      <c r="C55" s="345"/>
      <c r="D55" s="345"/>
      <c r="E55" s="353"/>
      <c r="F55" s="386"/>
      <c r="G55" s="348"/>
      <c r="H55" s="348"/>
      <c r="I55" s="347"/>
      <c r="J55" s="348"/>
      <c r="K55" s="348"/>
      <c r="L55" s="347"/>
      <c r="O55" s="348"/>
      <c r="P55" s="349"/>
      <c r="W55" s="347"/>
      <c r="X55" s="347"/>
    </row>
    <row r="56" spans="1:26" x14ac:dyDescent="0.2">
      <c r="A56" s="345"/>
      <c r="B56" s="345"/>
      <c r="C56" s="345"/>
      <c r="D56" s="345"/>
      <c r="E56" s="353"/>
      <c r="F56" s="386"/>
      <c r="G56" s="348"/>
      <c r="H56" s="348"/>
      <c r="I56" s="347"/>
      <c r="J56" s="348"/>
      <c r="K56" s="348"/>
      <c r="L56" s="347"/>
      <c r="O56" s="348"/>
      <c r="P56" s="349"/>
      <c r="W56" s="368"/>
      <c r="X56" s="347"/>
      <c r="Y56" s="347"/>
      <c r="Z56" s="347"/>
    </row>
    <row r="57" spans="1:26" x14ac:dyDescent="0.2">
      <c r="A57" s="345"/>
      <c r="B57" s="345"/>
      <c r="C57" s="345"/>
      <c r="D57" s="345"/>
      <c r="E57" s="353"/>
      <c r="F57" s="386"/>
      <c r="G57" s="348"/>
      <c r="H57" s="348"/>
      <c r="I57" s="347"/>
      <c r="J57" s="348"/>
      <c r="K57" s="348"/>
      <c r="L57" s="348"/>
      <c r="O57" s="348"/>
      <c r="P57" s="349"/>
      <c r="W57" s="368"/>
    </row>
    <row r="58" spans="1:26" x14ac:dyDescent="0.2">
      <c r="A58" s="345"/>
      <c r="B58" s="345"/>
      <c r="C58" s="345"/>
      <c r="D58" s="345"/>
      <c r="E58" s="353"/>
      <c r="F58" s="386"/>
      <c r="G58" s="348"/>
      <c r="H58" s="348"/>
      <c r="I58" s="347"/>
      <c r="J58" s="348"/>
      <c r="K58" s="348"/>
      <c r="L58" s="348"/>
      <c r="O58" s="348"/>
      <c r="P58" s="349"/>
      <c r="W58" s="347"/>
    </row>
    <row r="59" spans="1:26" x14ac:dyDescent="0.2">
      <c r="A59" s="345"/>
      <c r="B59" s="345"/>
      <c r="C59" s="345"/>
      <c r="D59" s="345"/>
      <c r="E59" s="353"/>
      <c r="F59" s="386"/>
      <c r="G59" s="348"/>
      <c r="H59" s="348"/>
      <c r="I59" s="347"/>
      <c r="J59" s="348"/>
      <c r="K59" s="348"/>
      <c r="L59" s="348"/>
      <c r="O59" s="348"/>
      <c r="P59" s="349"/>
    </row>
    <row r="60" spans="1:26" x14ac:dyDescent="0.2">
      <c r="A60" s="345"/>
      <c r="B60" s="345"/>
      <c r="C60" s="345"/>
      <c r="D60" s="345"/>
      <c r="E60" s="353"/>
      <c r="F60" s="386"/>
      <c r="G60" s="348"/>
      <c r="H60" s="348"/>
      <c r="I60" s="347"/>
      <c r="J60" s="348"/>
      <c r="K60" s="348"/>
      <c r="L60" s="348"/>
      <c r="O60" s="348"/>
      <c r="P60" s="349"/>
    </row>
    <row r="61" spans="1:26" x14ac:dyDescent="0.2">
      <c r="A61" s="345"/>
      <c r="B61" s="345"/>
      <c r="C61" s="345"/>
      <c r="D61" s="345"/>
      <c r="E61" s="353"/>
      <c r="F61" s="386"/>
      <c r="G61" s="348"/>
      <c r="H61" s="348"/>
      <c r="I61" s="347"/>
      <c r="J61" s="348"/>
      <c r="K61" s="348"/>
      <c r="L61" s="348"/>
      <c r="O61" s="348"/>
      <c r="P61" s="349"/>
    </row>
    <row r="62" spans="1:26" x14ac:dyDescent="0.2">
      <c r="A62" s="345"/>
      <c r="B62" s="345"/>
      <c r="C62" s="345"/>
      <c r="D62" s="345"/>
      <c r="E62" s="353"/>
      <c r="F62" s="386"/>
      <c r="G62" s="348"/>
      <c r="H62" s="348"/>
      <c r="I62" s="347"/>
      <c r="J62" s="348"/>
      <c r="K62" s="348"/>
      <c r="L62" s="348"/>
      <c r="O62" s="348"/>
      <c r="P62" s="349"/>
    </row>
    <row r="63" spans="1:26" x14ac:dyDescent="0.2">
      <c r="A63" s="345"/>
      <c r="B63" s="345"/>
      <c r="C63" s="345"/>
      <c r="D63" s="345"/>
      <c r="E63" s="353"/>
      <c r="F63" s="386"/>
      <c r="G63" s="348"/>
      <c r="H63" s="348"/>
      <c r="I63" s="347"/>
      <c r="J63" s="348"/>
      <c r="K63" s="348"/>
      <c r="L63" s="348"/>
      <c r="O63" s="348"/>
      <c r="P63" s="349"/>
    </row>
    <row r="64" spans="1:26" x14ac:dyDescent="0.2">
      <c r="A64" s="345"/>
      <c r="B64" s="345"/>
      <c r="C64" s="345"/>
      <c r="D64" s="345"/>
      <c r="E64" s="353"/>
      <c r="F64" s="386"/>
      <c r="G64" s="348"/>
      <c r="H64" s="348"/>
      <c r="I64" s="347"/>
      <c r="J64" s="348"/>
      <c r="K64" s="348"/>
      <c r="L64" s="348"/>
      <c r="O64" s="348"/>
      <c r="P64" s="349"/>
    </row>
    <row r="65" spans="1:22" x14ac:dyDescent="0.2">
      <c r="A65" s="345"/>
      <c r="B65" s="345"/>
      <c r="C65" s="345"/>
      <c r="D65" s="345"/>
      <c r="E65" s="353"/>
      <c r="F65" s="386"/>
      <c r="G65" s="348"/>
      <c r="H65" s="348"/>
      <c r="I65" s="347"/>
      <c r="J65" s="348"/>
      <c r="K65" s="348"/>
      <c r="L65" s="348"/>
      <c r="O65" s="348"/>
      <c r="P65" s="349"/>
    </row>
    <row r="66" spans="1:22" x14ac:dyDescent="0.2">
      <c r="A66" s="345"/>
      <c r="B66" s="345"/>
      <c r="C66" s="345"/>
      <c r="D66" s="345"/>
      <c r="E66" s="353"/>
      <c r="F66" s="386"/>
      <c r="G66" s="348"/>
      <c r="H66" s="348"/>
      <c r="I66" s="347"/>
      <c r="J66" s="348"/>
      <c r="K66" s="348"/>
      <c r="L66" s="348"/>
      <c r="O66" s="348"/>
      <c r="P66" s="349"/>
    </row>
    <row r="67" spans="1:22" x14ac:dyDescent="0.2">
      <c r="A67" s="345"/>
      <c r="B67" s="345"/>
      <c r="C67" s="345"/>
      <c r="D67" s="345"/>
      <c r="E67" s="353"/>
      <c r="F67" s="386"/>
      <c r="G67" s="348"/>
      <c r="H67" s="348"/>
      <c r="I67" s="347"/>
      <c r="J67" s="348"/>
      <c r="K67" s="348"/>
      <c r="L67" s="348"/>
      <c r="O67" s="348"/>
      <c r="P67" s="349"/>
    </row>
    <row r="68" spans="1:22" x14ac:dyDescent="0.2">
      <c r="A68" s="345"/>
      <c r="B68" s="345"/>
      <c r="C68" s="345"/>
      <c r="D68" s="345"/>
      <c r="E68" s="353"/>
      <c r="F68" s="386"/>
      <c r="G68" s="349"/>
      <c r="H68" s="348"/>
      <c r="I68" s="347"/>
      <c r="J68" s="348"/>
      <c r="K68" s="348"/>
      <c r="L68" s="348"/>
      <c r="O68" s="348"/>
      <c r="P68" s="349"/>
    </row>
    <row r="69" spans="1:22" x14ac:dyDescent="0.2">
      <c r="A69" s="345"/>
      <c r="B69" s="345"/>
      <c r="C69" s="345"/>
      <c r="D69" s="345"/>
      <c r="E69" s="353"/>
      <c r="F69" s="386"/>
      <c r="G69" s="349"/>
      <c r="H69" s="348"/>
      <c r="I69" s="347"/>
      <c r="J69" s="348"/>
      <c r="K69" s="348"/>
      <c r="L69" s="348"/>
      <c r="O69" s="348"/>
      <c r="P69" s="349"/>
    </row>
    <row r="70" spans="1:22" x14ac:dyDescent="0.2">
      <c r="A70" s="345"/>
      <c r="B70" s="345"/>
      <c r="C70" s="345"/>
      <c r="D70" s="345"/>
      <c r="E70" s="353"/>
      <c r="F70" s="386"/>
      <c r="G70" s="349"/>
      <c r="H70" s="348"/>
      <c r="I70" s="347"/>
      <c r="J70" s="348"/>
      <c r="K70" s="348"/>
      <c r="L70" s="348"/>
      <c r="O70" s="348"/>
      <c r="P70" s="349"/>
    </row>
    <row r="71" spans="1:22" x14ac:dyDescent="0.2">
      <c r="A71" s="345"/>
      <c r="B71" s="345"/>
      <c r="C71" s="345"/>
      <c r="D71" s="345"/>
      <c r="E71" s="353"/>
      <c r="F71" s="386"/>
      <c r="G71" s="349"/>
      <c r="H71" s="348"/>
      <c r="I71" s="347"/>
      <c r="J71" s="348"/>
      <c r="K71" s="348"/>
      <c r="L71" s="348"/>
      <c r="O71" s="348"/>
      <c r="P71" s="349"/>
    </row>
    <row r="72" spans="1:22" x14ac:dyDescent="0.2">
      <c r="A72" s="345"/>
      <c r="B72" s="345"/>
      <c r="C72" s="345"/>
      <c r="D72" s="345"/>
      <c r="E72" s="353"/>
      <c r="F72" s="386"/>
      <c r="G72" s="348"/>
      <c r="H72" s="348"/>
      <c r="I72" s="347"/>
      <c r="J72" s="348"/>
      <c r="K72" s="348"/>
      <c r="L72" s="348"/>
      <c r="O72" s="348"/>
      <c r="P72" s="349"/>
    </row>
    <row r="73" spans="1:22" x14ac:dyDescent="0.2">
      <c r="A73" s="345"/>
      <c r="B73" s="345"/>
      <c r="C73" s="345"/>
      <c r="D73" s="345"/>
      <c r="E73" s="353"/>
      <c r="F73" s="386"/>
      <c r="G73" s="348"/>
      <c r="H73" s="348"/>
      <c r="I73" s="347"/>
      <c r="J73" s="348"/>
      <c r="K73" s="348"/>
      <c r="L73" s="348"/>
      <c r="O73" s="348"/>
      <c r="P73" s="349"/>
    </row>
    <row r="74" spans="1:22" x14ac:dyDescent="0.2">
      <c r="A74" s="345"/>
      <c r="B74" s="345"/>
      <c r="C74" s="345"/>
      <c r="D74" s="345"/>
      <c r="E74" s="353"/>
      <c r="F74" s="386"/>
      <c r="G74" s="348"/>
      <c r="H74" s="348"/>
      <c r="I74" s="347"/>
      <c r="J74" s="348"/>
      <c r="K74" s="348"/>
      <c r="L74" s="348"/>
      <c r="O74" s="348"/>
      <c r="P74" s="349"/>
      <c r="R74" s="384"/>
      <c r="S74" s="384"/>
      <c r="T74" s="345"/>
      <c r="U74" s="345"/>
      <c r="V74" s="345"/>
    </row>
    <row r="75" spans="1:22" x14ac:dyDescent="0.2">
      <c r="A75" s="345"/>
      <c r="B75" s="345"/>
      <c r="C75" s="345"/>
      <c r="D75" s="345"/>
      <c r="E75" s="353"/>
      <c r="F75" s="386"/>
      <c r="G75" s="348"/>
      <c r="H75" s="348"/>
      <c r="I75" s="347"/>
      <c r="J75" s="348"/>
      <c r="K75" s="348"/>
      <c r="L75" s="348"/>
      <c r="O75" s="348"/>
      <c r="P75" s="349"/>
      <c r="R75" s="384"/>
      <c r="S75" s="384"/>
      <c r="T75" s="345"/>
      <c r="U75" s="345"/>
      <c r="V75" s="345"/>
    </row>
    <row r="76" spans="1:22" x14ac:dyDescent="0.2">
      <c r="A76" s="345"/>
      <c r="B76" s="345"/>
      <c r="C76" s="345"/>
      <c r="D76" s="345"/>
      <c r="E76" s="353"/>
      <c r="F76" s="386"/>
      <c r="G76" s="348"/>
      <c r="H76" s="348"/>
      <c r="I76" s="347"/>
      <c r="J76" s="348"/>
      <c r="K76" s="348"/>
      <c r="L76" s="348"/>
      <c r="O76" s="348"/>
      <c r="P76" s="349"/>
      <c r="R76" s="384"/>
      <c r="S76" s="384"/>
      <c r="T76" s="345"/>
      <c r="U76" s="345"/>
      <c r="V76" s="345"/>
    </row>
    <row r="77" spans="1:22" x14ac:dyDescent="0.2">
      <c r="A77" s="345"/>
      <c r="B77" s="345"/>
      <c r="C77" s="345"/>
      <c r="D77" s="345"/>
      <c r="E77" s="353"/>
      <c r="F77" s="386"/>
      <c r="G77" s="348"/>
      <c r="H77" s="348"/>
      <c r="I77" s="347"/>
      <c r="J77" s="348"/>
      <c r="K77" s="348"/>
      <c r="L77" s="348"/>
      <c r="O77" s="348"/>
      <c r="P77" s="349"/>
      <c r="R77" s="384"/>
      <c r="S77" s="384"/>
      <c r="T77" s="345"/>
      <c r="U77" s="345"/>
      <c r="V77" s="345"/>
    </row>
    <row r="78" spans="1:22" x14ac:dyDescent="0.2">
      <c r="A78" s="345"/>
      <c r="B78" s="345"/>
      <c r="C78" s="345"/>
      <c r="D78" s="345"/>
      <c r="E78" s="353"/>
      <c r="F78" s="386"/>
      <c r="G78" s="348"/>
      <c r="H78" s="348"/>
      <c r="I78" s="347"/>
      <c r="J78" s="348"/>
      <c r="K78" s="348"/>
      <c r="L78" s="348"/>
      <c r="O78" s="348"/>
      <c r="P78" s="349"/>
      <c r="R78" s="384"/>
      <c r="S78" s="384"/>
      <c r="T78" s="345"/>
      <c r="U78" s="345"/>
      <c r="V78" s="345"/>
    </row>
    <row r="79" spans="1:22" x14ac:dyDescent="0.2">
      <c r="A79" s="345"/>
      <c r="B79" s="345"/>
      <c r="C79" s="345"/>
      <c r="D79" s="345"/>
      <c r="E79" s="353"/>
      <c r="F79" s="386"/>
      <c r="G79" s="348"/>
      <c r="H79" s="348"/>
      <c r="I79" s="347"/>
      <c r="J79" s="348"/>
      <c r="K79" s="348"/>
      <c r="L79" s="348"/>
      <c r="N79" s="345"/>
      <c r="O79" s="345"/>
      <c r="P79" s="384"/>
      <c r="Q79" s="384"/>
      <c r="R79" s="384"/>
      <c r="S79" s="384"/>
      <c r="T79" s="345"/>
      <c r="U79" s="345"/>
      <c r="V79" s="345"/>
    </row>
    <row r="80" spans="1:22" x14ac:dyDescent="0.2">
      <c r="A80" s="345"/>
      <c r="B80" s="345"/>
      <c r="C80" s="345"/>
      <c r="D80" s="345"/>
      <c r="E80" s="353"/>
      <c r="F80" s="386"/>
      <c r="G80" s="348"/>
      <c r="H80" s="348"/>
      <c r="I80" s="347"/>
      <c r="J80" s="348"/>
      <c r="K80" s="348"/>
      <c r="L80" s="348"/>
      <c r="N80" s="345"/>
      <c r="O80" s="345"/>
      <c r="P80" s="384"/>
      <c r="Q80" s="384"/>
      <c r="R80" s="384"/>
      <c r="S80" s="384"/>
      <c r="T80" s="345"/>
      <c r="U80" s="345"/>
      <c r="V80" s="345"/>
    </row>
    <row r="81" spans="1:22" x14ac:dyDescent="0.2">
      <c r="A81" s="345"/>
      <c r="B81" s="345"/>
      <c r="C81" s="345"/>
      <c r="D81" s="345"/>
      <c r="E81" s="353"/>
      <c r="F81" s="386"/>
      <c r="G81" s="348"/>
      <c r="H81" s="348"/>
      <c r="I81" s="347"/>
      <c r="J81" s="348"/>
      <c r="K81" s="348"/>
      <c r="L81" s="348"/>
      <c r="N81" s="345"/>
      <c r="O81" s="345"/>
      <c r="P81" s="384"/>
      <c r="Q81" s="384"/>
      <c r="R81" s="384"/>
      <c r="S81" s="384"/>
      <c r="T81" s="345"/>
      <c r="U81" s="345"/>
      <c r="V81" s="345"/>
    </row>
    <row r="82" spans="1:22" x14ac:dyDescent="0.2">
      <c r="A82" s="345"/>
      <c r="B82" s="345"/>
      <c r="C82" s="345"/>
      <c r="D82" s="345"/>
      <c r="E82" s="353"/>
      <c r="F82" s="386"/>
      <c r="G82" s="348"/>
      <c r="H82" s="348"/>
      <c r="I82" s="347"/>
      <c r="J82" s="348"/>
      <c r="K82" s="348"/>
      <c r="L82" s="348"/>
      <c r="N82" s="345"/>
      <c r="O82" s="345"/>
      <c r="P82" s="384"/>
      <c r="Q82" s="384"/>
      <c r="R82" s="384"/>
      <c r="S82" s="384"/>
      <c r="T82" s="345"/>
      <c r="U82" s="345"/>
      <c r="V82" s="345"/>
    </row>
    <row r="83" spans="1:22" x14ac:dyDescent="0.2">
      <c r="A83" s="345"/>
      <c r="B83" s="345"/>
      <c r="C83" s="345"/>
      <c r="D83" s="345"/>
      <c r="E83" s="353"/>
      <c r="F83" s="386"/>
      <c r="G83" s="348"/>
      <c r="H83" s="348"/>
      <c r="I83" s="347"/>
      <c r="J83" s="348"/>
      <c r="K83" s="348"/>
      <c r="L83" s="348"/>
      <c r="N83" s="345"/>
      <c r="O83" s="345"/>
      <c r="P83" s="384"/>
      <c r="Q83" s="384"/>
      <c r="R83" s="384"/>
      <c r="S83" s="384"/>
      <c r="T83" s="345"/>
      <c r="U83" s="345"/>
      <c r="V83" s="345"/>
    </row>
    <row r="84" spans="1:22" x14ac:dyDescent="0.2">
      <c r="A84" s="345"/>
      <c r="B84" s="345"/>
      <c r="C84" s="345"/>
      <c r="D84" s="345"/>
      <c r="E84" s="353"/>
      <c r="F84" s="386"/>
      <c r="G84" s="348"/>
      <c r="H84" s="348"/>
      <c r="I84" s="347"/>
      <c r="J84" s="348"/>
      <c r="K84" s="348"/>
      <c r="L84" s="348"/>
      <c r="N84" s="345"/>
      <c r="O84" s="345"/>
      <c r="P84" s="384"/>
      <c r="Q84" s="384"/>
      <c r="R84" s="384"/>
      <c r="S84" s="384"/>
      <c r="T84" s="345"/>
      <c r="U84" s="345"/>
      <c r="V84" s="345"/>
    </row>
    <row r="85" spans="1:22" x14ac:dyDescent="0.2">
      <c r="A85" s="345"/>
      <c r="B85" s="345"/>
      <c r="C85" s="345"/>
      <c r="D85" s="345"/>
      <c r="E85" s="353"/>
      <c r="F85" s="386"/>
      <c r="G85" s="348"/>
      <c r="H85" s="348"/>
      <c r="I85" s="347"/>
      <c r="J85" s="348"/>
      <c r="K85" s="348"/>
      <c r="L85" s="348"/>
      <c r="N85" s="345"/>
      <c r="O85" s="345"/>
      <c r="P85" s="384"/>
      <c r="Q85" s="384"/>
      <c r="R85" s="384"/>
      <c r="S85" s="384"/>
      <c r="T85" s="345"/>
      <c r="U85" s="345"/>
      <c r="V85" s="345"/>
    </row>
    <row r="86" spans="1:22" x14ac:dyDescent="0.2">
      <c r="A86" s="345"/>
      <c r="B86" s="345"/>
      <c r="C86" s="345"/>
      <c r="D86" s="345"/>
      <c r="E86" s="353"/>
      <c r="F86" s="386"/>
      <c r="G86" s="348"/>
      <c r="H86" s="348"/>
      <c r="I86" s="347"/>
      <c r="J86" s="348"/>
      <c r="K86" s="348"/>
      <c r="L86" s="348"/>
      <c r="N86" s="345"/>
      <c r="O86" s="345"/>
      <c r="P86" s="384"/>
      <c r="Q86" s="384"/>
      <c r="R86" s="384"/>
      <c r="S86" s="384"/>
      <c r="T86" s="345"/>
      <c r="U86" s="345"/>
      <c r="V86" s="345"/>
    </row>
    <row r="87" spans="1:22" x14ac:dyDescent="0.2">
      <c r="A87" s="345"/>
      <c r="B87" s="345"/>
      <c r="C87" s="345"/>
      <c r="D87" s="345"/>
      <c r="E87" s="353"/>
      <c r="F87" s="386"/>
      <c r="G87" s="348"/>
      <c r="H87" s="348"/>
      <c r="I87" s="347"/>
      <c r="J87" s="348"/>
      <c r="K87" s="348"/>
      <c r="L87" s="348"/>
      <c r="N87" s="345"/>
      <c r="O87" s="345"/>
      <c r="P87" s="384"/>
      <c r="Q87" s="384"/>
      <c r="R87" s="384"/>
      <c r="S87" s="384"/>
      <c r="T87" s="345"/>
      <c r="U87" s="345"/>
      <c r="V87" s="345"/>
    </row>
    <row r="88" spans="1:22" x14ac:dyDescent="0.2">
      <c r="A88" s="345"/>
      <c r="B88" s="345"/>
      <c r="C88" s="345"/>
      <c r="D88" s="345"/>
      <c r="E88" s="353"/>
      <c r="F88" s="386"/>
      <c r="G88" s="348"/>
      <c r="H88" s="348"/>
      <c r="I88" s="347"/>
      <c r="J88" s="348"/>
      <c r="K88" s="348"/>
      <c r="L88" s="348"/>
      <c r="N88" s="345"/>
      <c r="O88" s="345"/>
      <c r="P88" s="384"/>
      <c r="Q88" s="384"/>
      <c r="R88" s="384"/>
      <c r="S88" s="384"/>
      <c r="T88" s="345"/>
      <c r="U88" s="345"/>
      <c r="V88" s="345"/>
    </row>
    <row r="89" spans="1:22" x14ac:dyDescent="0.2">
      <c r="A89" s="345"/>
      <c r="B89" s="345"/>
      <c r="C89" s="345"/>
      <c r="D89" s="345"/>
      <c r="E89" s="353"/>
      <c r="F89" s="386"/>
      <c r="G89" s="348"/>
      <c r="H89" s="348"/>
      <c r="I89" s="347"/>
      <c r="J89" s="348"/>
      <c r="K89" s="348"/>
      <c r="L89" s="348"/>
      <c r="N89" s="345"/>
      <c r="O89" s="345"/>
      <c r="P89" s="384"/>
      <c r="Q89" s="384"/>
      <c r="R89" s="384"/>
      <c r="S89" s="384"/>
      <c r="T89" s="345"/>
      <c r="U89" s="345"/>
      <c r="V89" s="345"/>
    </row>
    <row r="90" spans="1:22" x14ac:dyDescent="0.2">
      <c r="A90" s="345"/>
      <c r="B90" s="345"/>
      <c r="C90" s="345"/>
      <c r="D90" s="345"/>
      <c r="E90" s="353"/>
      <c r="F90" s="386"/>
      <c r="G90" s="348"/>
      <c r="H90" s="348"/>
      <c r="I90" s="347"/>
      <c r="J90" s="348"/>
      <c r="K90" s="348"/>
      <c r="L90" s="348"/>
      <c r="N90" s="345"/>
      <c r="O90" s="345"/>
      <c r="P90" s="384"/>
      <c r="Q90" s="384"/>
      <c r="R90" s="384"/>
      <c r="S90" s="384"/>
      <c r="T90" s="345"/>
      <c r="U90" s="345"/>
      <c r="V90" s="345"/>
    </row>
    <row r="91" spans="1:22" s="345" customFormat="1" x14ac:dyDescent="0.2">
      <c r="E91" s="353"/>
      <c r="F91" s="386"/>
      <c r="G91" s="348"/>
      <c r="H91" s="348"/>
      <c r="I91" s="347"/>
      <c r="J91" s="348"/>
      <c r="K91" s="348"/>
      <c r="L91" s="348"/>
      <c r="M91" s="348"/>
      <c r="P91" s="384"/>
      <c r="Q91" s="384"/>
      <c r="R91" s="384"/>
      <c r="S91" s="384"/>
    </row>
    <row r="92" spans="1:22" s="345" customFormat="1" x14ac:dyDescent="0.2">
      <c r="E92" s="353"/>
      <c r="F92" s="386"/>
      <c r="G92" s="348"/>
      <c r="H92" s="348"/>
      <c r="I92" s="347"/>
      <c r="J92" s="348"/>
      <c r="K92" s="348"/>
      <c r="L92" s="348"/>
      <c r="M92" s="348"/>
      <c r="P92" s="384"/>
      <c r="Q92" s="384"/>
      <c r="R92" s="384"/>
      <c r="S92" s="384"/>
    </row>
    <row r="93" spans="1:22" s="345" customFormat="1" x14ac:dyDescent="0.2">
      <c r="E93" s="353"/>
      <c r="F93" s="386"/>
      <c r="G93" s="348"/>
      <c r="H93" s="348"/>
      <c r="I93" s="347"/>
      <c r="J93" s="348"/>
      <c r="K93" s="348"/>
      <c r="L93" s="348"/>
      <c r="M93" s="348"/>
      <c r="P93" s="384"/>
      <c r="Q93" s="384"/>
      <c r="R93" s="384"/>
      <c r="S93" s="384"/>
    </row>
    <row r="94" spans="1:22" s="345" customFormat="1" x14ac:dyDescent="0.2">
      <c r="E94" s="353"/>
      <c r="F94" s="386"/>
      <c r="G94" s="348"/>
      <c r="H94" s="348"/>
      <c r="I94" s="347"/>
      <c r="J94" s="348"/>
      <c r="K94" s="348"/>
      <c r="L94" s="348"/>
      <c r="P94" s="384"/>
      <c r="Q94" s="384"/>
      <c r="R94" s="384"/>
      <c r="S94" s="384"/>
    </row>
    <row r="95" spans="1:22" s="345" customFormat="1" x14ac:dyDescent="0.2">
      <c r="E95" s="353"/>
      <c r="F95" s="386"/>
      <c r="G95" s="348"/>
      <c r="H95" s="348"/>
      <c r="I95" s="347"/>
      <c r="J95" s="348"/>
      <c r="K95" s="348"/>
      <c r="L95" s="348"/>
      <c r="P95" s="384"/>
      <c r="Q95" s="384"/>
      <c r="R95" s="384"/>
      <c r="S95" s="384"/>
    </row>
    <row r="96" spans="1:22" s="345" customFormat="1" x14ac:dyDescent="0.2">
      <c r="E96" s="353"/>
      <c r="F96" s="386"/>
      <c r="G96" s="348"/>
      <c r="H96" s="348"/>
      <c r="I96" s="347"/>
      <c r="J96" s="348"/>
      <c r="K96" s="348"/>
      <c r="L96" s="348"/>
      <c r="P96" s="384"/>
      <c r="Q96" s="384"/>
      <c r="R96" s="384"/>
      <c r="S96" s="384"/>
    </row>
    <row r="97" spans="5:19" s="345" customFormat="1" x14ac:dyDescent="0.2">
      <c r="E97" s="353"/>
      <c r="F97" s="386"/>
      <c r="G97" s="348"/>
      <c r="H97" s="348"/>
      <c r="I97" s="347"/>
      <c r="J97" s="348"/>
      <c r="K97" s="348"/>
      <c r="L97" s="348"/>
      <c r="P97" s="384"/>
      <c r="Q97" s="384"/>
      <c r="R97" s="384"/>
      <c r="S97" s="384"/>
    </row>
    <row r="98" spans="5:19" s="345" customFormat="1" x14ac:dyDescent="0.2">
      <c r="E98" s="353"/>
      <c r="F98" s="386"/>
      <c r="G98" s="348"/>
      <c r="H98" s="348"/>
      <c r="I98" s="347"/>
      <c r="J98" s="348"/>
      <c r="K98" s="348"/>
      <c r="L98" s="348"/>
      <c r="P98" s="384"/>
      <c r="Q98" s="384"/>
      <c r="R98" s="384"/>
      <c r="S98" s="384"/>
    </row>
    <row r="99" spans="5:19" s="345" customFormat="1" x14ac:dyDescent="0.2">
      <c r="E99" s="353"/>
      <c r="F99" s="386"/>
      <c r="G99" s="348"/>
      <c r="H99" s="348"/>
      <c r="I99" s="347"/>
      <c r="J99" s="348"/>
      <c r="K99" s="348"/>
      <c r="L99" s="348"/>
      <c r="P99" s="384"/>
      <c r="Q99" s="384"/>
      <c r="R99" s="384"/>
      <c r="S99" s="384"/>
    </row>
    <row r="100" spans="5:19" s="345" customFormat="1" x14ac:dyDescent="0.2">
      <c r="E100" s="353"/>
      <c r="F100" s="386"/>
      <c r="G100" s="348"/>
      <c r="H100" s="348"/>
      <c r="I100" s="347"/>
      <c r="J100" s="348"/>
      <c r="K100" s="348"/>
      <c r="L100" s="348"/>
      <c r="P100" s="384"/>
      <c r="Q100" s="384"/>
      <c r="R100" s="384"/>
      <c r="S100" s="384"/>
    </row>
    <row r="101" spans="5:19" s="345" customFormat="1" x14ac:dyDescent="0.2">
      <c r="E101" s="353"/>
      <c r="F101" s="386"/>
      <c r="G101" s="348"/>
      <c r="H101" s="348"/>
      <c r="I101" s="347"/>
      <c r="J101" s="348"/>
      <c r="K101" s="348"/>
      <c r="L101" s="348"/>
      <c r="P101" s="384"/>
      <c r="Q101" s="384"/>
      <c r="R101" s="384"/>
      <c r="S101" s="384"/>
    </row>
    <row r="102" spans="5:19" s="345" customFormat="1" x14ac:dyDescent="0.2">
      <c r="E102" s="353"/>
      <c r="F102" s="386"/>
      <c r="G102" s="348"/>
      <c r="H102" s="348"/>
      <c r="I102" s="347"/>
      <c r="J102" s="348"/>
      <c r="K102" s="348"/>
      <c r="L102" s="348"/>
      <c r="P102" s="384"/>
      <c r="Q102" s="384"/>
      <c r="R102" s="384"/>
      <c r="S102" s="384"/>
    </row>
    <row r="103" spans="5:19" s="345" customFormat="1" x14ac:dyDescent="0.2">
      <c r="E103" s="353"/>
      <c r="F103" s="386"/>
      <c r="G103" s="348"/>
      <c r="H103" s="348"/>
      <c r="I103" s="347"/>
      <c r="J103" s="348"/>
      <c r="K103" s="348"/>
      <c r="L103" s="348"/>
      <c r="P103" s="384"/>
      <c r="Q103" s="384"/>
      <c r="R103" s="384"/>
      <c r="S103" s="384"/>
    </row>
    <row r="104" spans="5:19" s="345" customFormat="1" x14ac:dyDescent="0.2">
      <c r="E104" s="353"/>
      <c r="F104" s="386"/>
      <c r="G104" s="348"/>
      <c r="H104" s="348"/>
      <c r="I104" s="347"/>
      <c r="J104" s="348"/>
      <c r="K104" s="348"/>
      <c r="L104" s="348"/>
      <c r="P104" s="384"/>
      <c r="Q104" s="384"/>
      <c r="R104" s="384"/>
      <c r="S104" s="384"/>
    </row>
    <row r="105" spans="5:19" s="345" customFormat="1" x14ac:dyDescent="0.2">
      <c r="E105" s="353"/>
      <c r="F105" s="386"/>
      <c r="G105" s="348"/>
      <c r="H105" s="348"/>
      <c r="I105" s="347"/>
      <c r="J105" s="348"/>
      <c r="K105" s="348"/>
      <c r="L105" s="348"/>
      <c r="P105" s="384"/>
      <c r="Q105" s="384"/>
      <c r="R105" s="384"/>
      <c r="S105" s="384"/>
    </row>
    <row r="106" spans="5:19" s="345" customFormat="1" x14ac:dyDescent="0.2">
      <c r="E106" s="353"/>
      <c r="F106" s="386"/>
      <c r="G106" s="348"/>
      <c r="H106" s="348"/>
      <c r="I106" s="347"/>
      <c r="J106" s="348"/>
      <c r="K106" s="348"/>
      <c r="L106" s="348"/>
      <c r="P106" s="384"/>
      <c r="Q106" s="384"/>
      <c r="R106" s="384"/>
      <c r="S106" s="384"/>
    </row>
    <row r="107" spans="5:19" s="345" customFormat="1" x14ac:dyDescent="0.2">
      <c r="E107" s="353"/>
      <c r="F107" s="386"/>
      <c r="G107" s="348"/>
      <c r="H107" s="348"/>
      <c r="I107" s="347"/>
      <c r="J107" s="348"/>
      <c r="K107" s="348"/>
      <c r="L107" s="348"/>
      <c r="P107" s="384"/>
      <c r="Q107" s="384"/>
      <c r="R107" s="384"/>
      <c r="S107" s="384"/>
    </row>
    <row r="108" spans="5:19" s="345" customFormat="1" x14ac:dyDescent="0.2">
      <c r="E108" s="353"/>
      <c r="F108" s="386"/>
      <c r="G108" s="348"/>
      <c r="H108" s="348"/>
      <c r="I108" s="347"/>
      <c r="J108" s="348"/>
      <c r="K108" s="348"/>
      <c r="L108" s="348"/>
      <c r="P108" s="384"/>
      <c r="Q108" s="384"/>
      <c r="R108" s="384"/>
      <c r="S108" s="384"/>
    </row>
    <row r="109" spans="5:19" s="345" customFormat="1" x14ac:dyDescent="0.2">
      <c r="E109" s="353"/>
      <c r="F109" s="386"/>
      <c r="G109" s="348"/>
      <c r="H109" s="348"/>
      <c r="I109" s="347"/>
      <c r="J109" s="348"/>
      <c r="K109" s="348"/>
      <c r="L109" s="348"/>
      <c r="P109" s="384"/>
      <c r="Q109" s="384"/>
      <c r="R109" s="384"/>
      <c r="S109" s="384"/>
    </row>
    <row r="110" spans="5:19" s="345" customFormat="1" x14ac:dyDescent="0.2">
      <c r="E110" s="353"/>
      <c r="F110" s="386"/>
      <c r="G110" s="348"/>
      <c r="H110" s="348"/>
      <c r="I110" s="347"/>
      <c r="J110" s="348"/>
      <c r="K110" s="348"/>
      <c r="L110" s="348"/>
      <c r="P110" s="384"/>
      <c r="Q110" s="384"/>
      <c r="R110" s="384"/>
      <c r="S110" s="384"/>
    </row>
    <row r="111" spans="5:19" s="345" customFormat="1" x14ac:dyDescent="0.2">
      <c r="E111" s="353"/>
      <c r="F111" s="386"/>
      <c r="G111" s="348"/>
      <c r="H111" s="348"/>
      <c r="I111" s="347"/>
      <c r="J111" s="348"/>
      <c r="K111" s="348"/>
      <c r="L111" s="348"/>
      <c r="P111" s="384"/>
      <c r="Q111" s="384"/>
      <c r="R111" s="384"/>
      <c r="S111" s="384"/>
    </row>
    <row r="112" spans="5:19" s="345" customFormat="1" x14ac:dyDescent="0.2">
      <c r="E112" s="353"/>
      <c r="F112" s="386"/>
      <c r="G112" s="348"/>
      <c r="H112" s="348"/>
      <c r="I112" s="347"/>
      <c r="J112" s="348"/>
      <c r="K112" s="348"/>
      <c r="L112" s="348"/>
      <c r="P112" s="384"/>
      <c r="Q112" s="384"/>
      <c r="R112" s="384"/>
      <c r="S112" s="384"/>
    </row>
    <row r="113" spans="5:19" s="345" customFormat="1" x14ac:dyDescent="0.2">
      <c r="E113" s="353"/>
      <c r="F113" s="386"/>
      <c r="G113" s="348"/>
      <c r="H113" s="348"/>
      <c r="I113" s="347"/>
      <c r="J113" s="348"/>
      <c r="K113" s="348"/>
      <c r="L113" s="348"/>
      <c r="P113" s="384"/>
      <c r="Q113" s="384"/>
      <c r="R113" s="384"/>
      <c r="S113" s="384"/>
    </row>
    <row r="114" spans="5:19" s="345" customFormat="1" x14ac:dyDescent="0.2">
      <c r="E114" s="353"/>
      <c r="F114" s="386"/>
      <c r="G114" s="348"/>
      <c r="H114" s="348"/>
      <c r="I114" s="347"/>
      <c r="J114" s="348"/>
      <c r="K114" s="348"/>
      <c r="L114" s="348"/>
      <c r="P114" s="384"/>
      <c r="Q114" s="384"/>
      <c r="R114" s="384"/>
      <c r="S114" s="384"/>
    </row>
    <row r="115" spans="5:19" s="345" customFormat="1" x14ac:dyDescent="0.2">
      <c r="E115" s="353"/>
      <c r="F115" s="386"/>
      <c r="G115" s="348"/>
      <c r="H115" s="348"/>
      <c r="I115" s="347"/>
      <c r="J115" s="348"/>
      <c r="K115" s="348"/>
      <c r="L115" s="348"/>
      <c r="P115" s="384"/>
      <c r="Q115" s="384"/>
      <c r="R115" s="384"/>
      <c r="S115" s="384"/>
    </row>
    <row r="116" spans="5:19" s="345" customFormat="1" x14ac:dyDescent="0.2">
      <c r="E116" s="353"/>
      <c r="F116" s="386"/>
      <c r="G116" s="348"/>
      <c r="H116" s="348"/>
      <c r="I116" s="347"/>
      <c r="J116" s="348"/>
      <c r="K116" s="348"/>
      <c r="L116" s="348"/>
      <c r="P116" s="384"/>
      <c r="Q116" s="384"/>
      <c r="R116" s="384"/>
      <c r="S116" s="384"/>
    </row>
    <row r="117" spans="5:19" s="345" customFormat="1" x14ac:dyDescent="0.2">
      <c r="E117" s="353"/>
      <c r="F117" s="386"/>
      <c r="G117" s="348"/>
      <c r="H117" s="348"/>
      <c r="I117" s="347"/>
      <c r="J117" s="348"/>
      <c r="K117" s="348"/>
      <c r="L117" s="348"/>
      <c r="P117" s="384"/>
      <c r="Q117" s="384"/>
      <c r="R117" s="384"/>
      <c r="S117" s="384"/>
    </row>
    <row r="118" spans="5:19" s="345" customFormat="1" x14ac:dyDescent="0.2">
      <c r="E118" s="353"/>
      <c r="F118" s="386"/>
      <c r="G118" s="348"/>
      <c r="H118" s="348"/>
      <c r="I118" s="347"/>
      <c r="J118" s="348"/>
      <c r="K118" s="348"/>
      <c r="L118" s="348"/>
      <c r="P118" s="384"/>
      <c r="Q118" s="384"/>
      <c r="R118" s="384"/>
      <c r="S118" s="384"/>
    </row>
    <row r="119" spans="5:19" s="345" customFormat="1" x14ac:dyDescent="0.2">
      <c r="E119" s="353"/>
      <c r="F119" s="386"/>
      <c r="G119" s="348"/>
      <c r="H119" s="348"/>
      <c r="I119" s="347"/>
      <c r="J119" s="348"/>
      <c r="K119" s="348"/>
      <c r="L119" s="348"/>
      <c r="P119" s="384"/>
      <c r="Q119" s="384"/>
      <c r="R119" s="384"/>
      <c r="S119" s="384"/>
    </row>
    <row r="120" spans="5:19" s="345" customFormat="1" x14ac:dyDescent="0.2">
      <c r="E120" s="353"/>
      <c r="F120" s="386"/>
      <c r="G120" s="348"/>
      <c r="H120" s="348"/>
      <c r="I120" s="347"/>
      <c r="J120" s="348"/>
      <c r="K120" s="348"/>
      <c r="L120" s="348"/>
      <c r="P120" s="384"/>
      <c r="Q120" s="384"/>
      <c r="R120" s="384"/>
      <c r="S120" s="384"/>
    </row>
    <row r="121" spans="5:19" s="345" customFormat="1" x14ac:dyDescent="0.2">
      <c r="E121" s="353"/>
      <c r="F121" s="386"/>
      <c r="G121" s="348"/>
      <c r="H121" s="348"/>
      <c r="I121" s="347"/>
      <c r="J121" s="348"/>
      <c r="K121" s="348"/>
      <c r="L121" s="348"/>
      <c r="P121" s="384"/>
      <c r="Q121" s="384"/>
      <c r="R121" s="384"/>
      <c r="S121" s="384"/>
    </row>
    <row r="122" spans="5:19" s="345" customFormat="1" x14ac:dyDescent="0.2">
      <c r="E122" s="353"/>
      <c r="F122" s="386"/>
      <c r="G122" s="348"/>
      <c r="H122" s="348"/>
      <c r="I122" s="347"/>
      <c r="J122" s="348"/>
      <c r="K122" s="348"/>
      <c r="L122" s="348"/>
      <c r="P122" s="384"/>
      <c r="Q122" s="384"/>
      <c r="R122" s="384"/>
      <c r="S122" s="384"/>
    </row>
    <row r="123" spans="5:19" s="345" customFormat="1" x14ac:dyDescent="0.2">
      <c r="E123" s="353"/>
      <c r="F123" s="386"/>
      <c r="G123" s="348"/>
      <c r="H123" s="348"/>
      <c r="I123" s="347"/>
      <c r="J123" s="348"/>
      <c r="K123" s="348"/>
      <c r="L123" s="348"/>
      <c r="P123" s="384"/>
      <c r="Q123" s="384"/>
      <c r="R123" s="384"/>
      <c r="S123" s="384"/>
    </row>
    <row r="124" spans="5:19" s="345" customFormat="1" x14ac:dyDescent="0.2">
      <c r="E124" s="353"/>
      <c r="F124" s="386"/>
      <c r="G124" s="348"/>
      <c r="H124" s="348"/>
      <c r="I124" s="347"/>
      <c r="J124" s="348"/>
      <c r="K124" s="348"/>
      <c r="L124" s="348"/>
      <c r="P124" s="384"/>
      <c r="Q124" s="384"/>
      <c r="R124" s="384"/>
      <c r="S124" s="384"/>
    </row>
    <row r="125" spans="5:19" s="345" customFormat="1" x14ac:dyDescent="0.2">
      <c r="E125" s="353"/>
      <c r="F125" s="386"/>
      <c r="G125" s="348"/>
      <c r="H125" s="348"/>
      <c r="I125" s="347"/>
      <c r="J125" s="348"/>
      <c r="K125" s="348"/>
      <c r="L125" s="348"/>
      <c r="P125" s="384"/>
      <c r="Q125" s="384"/>
      <c r="R125" s="384"/>
      <c r="S125" s="384"/>
    </row>
    <row r="126" spans="5:19" s="345" customFormat="1" x14ac:dyDescent="0.2">
      <c r="E126" s="353"/>
      <c r="F126" s="386"/>
      <c r="G126" s="348"/>
      <c r="H126" s="348"/>
      <c r="I126" s="347"/>
      <c r="J126" s="348"/>
      <c r="K126" s="348"/>
      <c r="L126" s="348"/>
      <c r="P126" s="384"/>
      <c r="Q126" s="384"/>
      <c r="R126" s="384"/>
      <c r="S126" s="384"/>
    </row>
    <row r="127" spans="5:19" s="345" customFormat="1" x14ac:dyDescent="0.2">
      <c r="E127" s="353"/>
      <c r="F127" s="386"/>
      <c r="G127" s="348"/>
      <c r="H127" s="348"/>
      <c r="I127" s="347"/>
      <c r="J127" s="348"/>
      <c r="K127" s="348"/>
      <c r="L127" s="348"/>
      <c r="P127" s="384"/>
      <c r="Q127" s="384"/>
      <c r="R127" s="384"/>
      <c r="S127" s="384"/>
    </row>
    <row r="128" spans="5:19" s="345" customFormat="1" x14ac:dyDescent="0.2">
      <c r="E128" s="353"/>
      <c r="F128" s="386"/>
      <c r="G128" s="348"/>
      <c r="H128" s="348"/>
      <c r="I128" s="347"/>
      <c r="J128" s="348"/>
      <c r="K128" s="348"/>
      <c r="L128" s="348"/>
      <c r="P128" s="384"/>
      <c r="Q128" s="384"/>
      <c r="R128" s="384"/>
      <c r="S128" s="384"/>
    </row>
    <row r="129" spans="1:22" s="345" customFormat="1" x14ac:dyDescent="0.2">
      <c r="E129" s="353"/>
      <c r="F129" s="386"/>
      <c r="G129" s="348"/>
      <c r="H129" s="348"/>
      <c r="I129" s="347"/>
      <c r="J129" s="348"/>
      <c r="K129" s="348"/>
      <c r="L129" s="348"/>
      <c r="P129" s="384"/>
      <c r="Q129" s="384"/>
      <c r="R129" s="384"/>
      <c r="S129" s="384"/>
    </row>
    <row r="130" spans="1:22" s="345" customFormat="1" x14ac:dyDescent="0.2">
      <c r="E130" s="353"/>
      <c r="F130" s="386"/>
      <c r="G130" s="348"/>
      <c r="H130" s="348"/>
      <c r="I130" s="347"/>
      <c r="J130" s="348"/>
      <c r="K130" s="348"/>
      <c r="L130" s="348"/>
      <c r="P130" s="384"/>
      <c r="Q130" s="384"/>
      <c r="R130" s="384"/>
      <c r="S130" s="384"/>
    </row>
    <row r="131" spans="1:22" s="345" customFormat="1" x14ac:dyDescent="0.2">
      <c r="E131" s="353"/>
      <c r="F131" s="386"/>
      <c r="G131" s="348"/>
      <c r="H131" s="348"/>
      <c r="I131" s="347"/>
      <c r="J131" s="348"/>
      <c r="K131" s="348"/>
      <c r="L131" s="348"/>
      <c r="P131" s="384"/>
      <c r="Q131" s="384"/>
      <c r="R131" s="349"/>
      <c r="S131" s="349"/>
      <c r="T131" s="348"/>
      <c r="U131" s="348"/>
      <c r="V131" s="348"/>
    </row>
    <row r="132" spans="1:22" s="345" customFormat="1" x14ac:dyDescent="0.2">
      <c r="E132" s="353"/>
      <c r="F132" s="386"/>
      <c r="G132" s="348"/>
      <c r="H132" s="348"/>
      <c r="I132" s="347"/>
      <c r="J132" s="348"/>
      <c r="K132" s="348"/>
      <c r="L132" s="348"/>
      <c r="P132" s="384"/>
      <c r="Q132" s="384"/>
      <c r="R132" s="349"/>
      <c r="S132" s="349"/>
      <c r="T132" s="348"/>
      <c r="U132" s="348"/>
      <c r="V132" s="348"/>
    </row>
    <row r="133" spans="1:22" s="345" customFormat="1" x14ac:dyDescent="0.2">
      <c r="E133" s="353"/>
      <c r="F133" s="386"/>
      <c r="G133" s="348"/>
      <c r="H133" s="348"/>
      <c r="I133" s="347"/>
      <c r="J133" s="348"/>
      <c r="K133" s="348"/>
      <c r="L133" s="348"/>
      <c r="P133" s="384"/>
      <c r="Q133" s="384"/>
      <c r="R133" s="349"/>
      <c r="S133" s="349"/>
      <c r="T133" s="348"/>
      <c r="U133" s="348"/>
      <c r="V133" s="348"/>
    </row>
    <row r="134" spans="1:22" s="345" customFormat="1" x14ac:dyDescent="0.2">
      <c r="E134" s="353"/>
      <c r="F134" s="386"/>
      <c r="G134" s="348"/>
      <c r="H134" s="348"/>
      <c r="I134" s="347"/>
      <c r="J134" s="348"/>
      <c r="K134" s="348"/>
      <c r="L134" s="348"/>
      <c r="P134" s="384"/>
      <c r="Q134" s="384"/>
      <c r="R134" s="349"/>
      <c r="S134" s="349"/>
      <c r="T134" s="348"/>
      <c r="U134" s="348"/>
      <c r="V134" s="348"/>
    </row>
    <row r="135" spans="1:22" s="345" customFormat="1" x14ac:dyDescent="0.2">
      <c r="E135" s="353"/>
      <c r="F135" s="386"/>
      <c r="G135" s="348"/>
      <c r="H135" s="348"/>
      <c r="I135" s="347"/>
      <c r="J135" s="348"/>
      <c r="K135" s="348"/>
      <c r="L135" s="348"/>
      <c r="P135" s="384"/>
      <c r="Q135" s="384"/>
      <c r="R135" s="349"/>
      <c r="S135" s="349"/>
      <c r="T135" s="348"/>
      <c r="U135" s="348"/>
      <c r="V135" s="348"/>
    </row>
    <row r="136" spans="1:22" s="345" customFormat="1" x14ac:dyDescent="0.2">
      <c r="E136" s="353"/>
      <c r="F136" s="386"/>
      <c r="G136" s="348"/>
      <c r="H136" s="348"/>
      <c r="I136" s="347"/>
      <c r="J136" s="348"/>
      <c r="K136" s="348"/>
      <c r="L136" s="348"/>
      <c r="N136" s="348"/>
      <c r="O136" s="347"/>
      <c r="P136" s="396"/>
      <c r="Q136" s="349"/>
      <c r="R136" s="349"/>
      <c r="S136" s="349"/>
      <c r="T136" s="348"/>
      <c r="U136" s="348"/>
      <c r="V136" s="348"/>
    </row>
    <row r="137" spans="1:22" s="345" customFormat="1" x14ac:dyDescent="0.2">
      <c r="E137" s="353"/>
      <c r="F137" s="386"/>
      <c r="G137" s="348"/>
      <c r="H137" s="348"/>
      <c r="I137" s="347"/>
      <c r="J137" s="348"/>
      <c r="K137" s="348"/>
      <c r="L137" s="348"/>
      <c r="N137" s="348"/>
      <c r="O137" s="347"/>
      <c r="P137" s="396"/>
      <c r="Q137" s="349"/>
      <c r="R137" s="349"/>
      <c r="S137" s="349"/>
      <c r="T137" s="348"/>
      <c r="U137" s="348"/>
      <c r="V137" s="348"/>
    </row>
    <row r="138" spans="1:22" s="345" customFormat="1" x14ac:dyDescent="0.2">
      <c r="E138" s="353"/>
      <c r="F138" s="386"/>
      <c r="G138" s="348"/>
      <c r="H138" s="348"/>
      <c r="I138" s="347"/>
      <c r="J138" s="348"/>
      <c r="K138" s="348"/>
      <c r="L138" s="348"/>
      <c r="N138" s="348"/>
      <c r="O138" s="347"/>
      <c r="P138" s="396"/>
      <c r="Q138" s="349"/>
      <c r="R138" s="349"/>
      <c r="S138" s="349"/>
      <c r="T138" s="348"/>
      <c r="U138" s="348"/>
      <c r="V138" s="348"/>
    </row>
    <row r="139" spans="1:22" s="345" customFormat="1" x14ac:dyDescent="0.2">
      <c r="E139" s="353"/>
      <c r="F139" s="386"/>
      <c r="G139" s="348"/>
      <c r="H139" s="348"/>
      <c r="I139" s="347"/>
      <c r="J139" s="348"/>
      <c r="K139" s="348"/>
      <c r="L139" s="348"/>
      <c r="N139" s="348"/>
      <c r="O139" s="347"/>
      <c r="P139" s="396"/>
      <c r="Q139" s="349"/>
      <c r="R139" s="349"/>
      <c r="S139" s="349"/>
      <c r="T139" s="348"/>
      <c r="U139" s="348"/>
      <c r="V139" s="348"/>
    </row>
    <row r="140" spans="1:22" s="345" customFormat="1" x14ac:dyDescent="0.2">
      <c r="A140" s="348"/>
      <c r="B140" s="348"/>
      <c r="C140" s="397"/>
      <c r="D140" s="397"/>
      <c r="E140" s="397"/>
      <c r="F140" s="397"/>
      <c r="H140" s="384"/>
      <c r="J140" s="348"/>
      <c r="K140" s="348"/>
      <c r="L140" s="348"/>
      <c r="N140" s="348"/>
      <c r="O140" s="347"/>
      <c r="P140" s="396"/>
      <c r="Q140" s="349"/>
      <c r="R140" s="349"/>
      <c r="S140" s="349"/>
      <c r="T140" s="348"/>
      <c r="U140" s="348"/>
      <c r="V140" s="348"/>
    </row>
    <row r="141" spans="1:22" s="345" customFormat="1" x14ac:dyDescent="0.2">
      <c r="A141" s="348"/>
      <c r="B141" s="348"/>
      <c r="C141" s="397"/>
      <c r="D141" s="397"/>
      <c r="E141" s="397"/>
      <c r="F141" s="397"/>
      <c r="H141" s="384"/>
      <c r="J141" s="348"/>
      <c r="K141" s="348"/>
      <c r="L141" s="348"/>
      <c r="N141" s="348"/>
      <c r="O141" s="347"/>
      <c r="P141" s="396"/>
      <c r="Q141" s="349"/>
      <c r="R141" s="349"/>
      <c r="S141" s="349"/>
      <c r="T141" s="348"/>
      <c r="U141" s="348"/>
      <c r="V141" s="348"/>
    </row>
    <row r="142" spans="1:22" s="345" customFormat="1" x14ac:dyDescent="0.2">
      <c r="A142" s="348"/>
      <c r="B142" s="348"/>
      <c r="C142" s="397"/>
      <c r="D142" s="397"/>
      <c r="E142" s="397"/>
      <c r="F142" s="397"/>
      <c r="H142" s="384"/>
      <c r="J142" s="348"/>
      <c r="K142" s="348"/>
      <c r="L142" s="348"/>
      <c r="N142" s="348"/>
      <c r="O142" s="347"/>
      <c r="P142" s="396"/>
      <c r="Q142" s="349"/>
      <c r="R142" s="349"/>
      <c r="S142" s="349"/>
      <c r="T142" s="348"/>
      <c r="U142" s="348"/>
      <c r="V142" s="348"/>
    </row>
    <row r="143" spans="1:22" s="345" customFormat="1" x14ac:dyDescent="0.2">
      <c r="A143" s="348"/>
      <c r="B143" s="348"/>
      <c r="C143" s="397"/>
      <c r="D143" s="397"/>
      <c r="E143" s="397"/>
      <c r="F143" s="397"/>
      <c r="H143" s="384"/>
      <c r="J143" s="348"/>
      <c r="K143" s="348"/>
      <c r="L143" s="348"/>
      <c r="N143" s="348"/>
      <c r="O143" s="347"/>
      <c r="P143" s="396"/>
      <c r="Q143" s="349"/>
      <c r="R143" s="349"/>
      <c r="S143" s="349"/>
      <c r="T143" s="348"/>
      <c r="U143" s="348"/>
      <c r="V143" s="348"/>
    </row>
    <row r="144" spans="1:22" s="345" customFormat="1" x14ac:dyDescent="0.2">
      <c r="A144" s="348"/>
      <c r="B144" s="348"/>
      <c r="C144" s="397"/>
      <c r="D144" s="397"/>
      <c r="E144" s="397"/>
      <c r="F144" s="397"/>
      <c r="H144" s="384"/>
      <c r="J144" s="348"/>
      <c r="K144" s="348"/>
      <c r="L144" s="348"/>
      <c r="N144" s="348"/>
      <c r="O144" s="347"/>
      <c r="P144" s="396"/>
      <c r="Q144" s="349"/>
      <c r="R144" s="349"/>
      <c r="S144" s="349"/>
      <c r="T144" s="348"/>
      <c r="U144" s="348"/>
      <c r="V144" s="348"/>
    </row>
    <row r="145" spans="1:22" s="345" customFormat="1" x14ac:dyDescent="0.2">
      <c r="A145" s="348"/>
      <c r="B145" s="348"/>
      <c r="C145" s="397"/>
      <c r="D145" s="397"/>
      <c r="E145" s="397"/>
      <c r="F145" s="397"/>
      <c r="H145" s="384"/>
      <c r="J145" s="348"/>
      <c r="K145" s="348"/>
      <c r="L145" s="348"/>
      <c r="N145" s="348"/>
      <c r="O145" s="347"/>
      <c r="P145" s="396"/>
      <c r="Q145" s="349"/>
      <c r="R145" s="349"/>
      <c r="S145" s="349"/>
      <c r="T145" s="348"/>
      <c r="U145" s="348"/>
      <c r="V145" s="348"/>
    </row>
    <row r="146" spans="1:22" s="345" customFormat="1" x14ac:dyDescent="0.2">
      <c r="A146" s="348"/>
      <c r="B146" s="348"/>
      <c r="C146" s="397"/>
      <c r="D146" s="397"/>
      <c r="E146" s="397"/>
      <c r="F146" s="397"/>
      <c r="H146" s="384"/>
      <c r="K146" s="348"/>
      <c r="L146" s="348"/>
      <c r="N146" s="348"/>
      <c r="O146" s="347"/>
      <c r="P146" s="396"/>
      <c r="Q146" s="349"/>
      <c r="R146" s="349"/>
      <c r="S146" s="349"/>
      <c r="T146" s="348"/>
      <c r="U146" s="348"/>
      <c r="V146" s="348"/>
    </row>
    <row r="147" spans="1:22" s="345" customFormat="1" x14ac:dyDescent="0.2">
      <c r="A147" s="348"/>
      <c r="B147" s="348"/>
      <c r="C147" s="397"/>
      <c r="D147" s="397"/>
      <c r="E147" s="397"/>
      <c r="F147" s="397"/>
      <c r="H147" s="384"/>
      <c r="K147" s="348"/>
      <c r="L147" s="348"/>
      <c r="N147" s="348"/>
      <c r="O147" s="347"/>
      <c r="P147" s="396"/>
      <c r="Q147" s="349"/>
      <c r="R147" s="349"/>
      <c r="S147" s="349"/>
      <c r="T147" s="348"/>
      <c r="U147" s="348"/>
      <c r="V147" s="348"/>
    </row>
    <row r="148" spans="1:22" x14ac:dyDescent="0.2">
      <c r="K148" s="348"/>
      <c r="L148" s="348"/>
      <c r="M148" s="345"/>
    </row>
    <row r="149" spans="1:22" x14ac:dyDescent="0.2">
      <c r="L149" s="348"/>
      <c r="M149" s="345"/>
    </row>
    <row r="150" spans="1:22" x14ac:dyDescent="0.2">
      <c r="L150" s="348"/>
      <c r="M150" s="345"/>
    </row>
    <row r="151" spans="1:22" x14ac:dyDescent="0.2">
      <c r="L151" s="348"/>
    </row>
    <row r="152" spans="1:22" x14ac:dyDescent="0.2">
      <c r="L152" s="348"/>
    </row>
    <row r="153" spans="1:22" x14ac:dyDescent="0.2">
      <c r="L153" s="348"/>
    </row>
  </sheetData>
  <conditionalFormatting sqref="P6:P11 Z6:Z11">
    <cfRule type="aboveAverage" dxfId="21" priority="3" aboveAverage="0" stdDev="1"/>
    <cfRule type="aboveAverage" dxfId="20" priority="4" stdDev="1"/>
  </conditionalFormatting>
  <conditionalFormatting sqref="P45:P58 Z45:Z58 B21:B44">
    <cfRule type="aboveAverage" dxfId="19" priority="5" aboveAverage="0" stdDev="1"/>
    <cfRule type="aboveAverage" dxfId="18" priority="6" stdDev="1"/>
  </conditionalFormatting>
  <conditionalFormatting sqref="C36">
    <cfRule type="aboveAverage" dxfId="17" priority="1" aboveAverage="0" stdDev="1"/>
    <cfRule type="aboveAverage" dxfId="16" priority="2" stdDev="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0CAA-EEF1-474C-8E2D-22E99047E033}">
  <dimension ref="A1:B4"/>
  <sheetViews>
    <sheetView workbookViewId="0">
      <selection sqref="A1:C4"/>
    </sheetView>
  </sheetViews>
  <sheetFormatPr defaultRowHeight="15" x14ac:dyDescent="0.25"/>
  <cols>
    <col min="1" max="1" width="22" bestFit="1" customWidth="1"/>
    <col min="2" max="2" width="9.7109375" bestFit="1" customWidth="1"/>
  </cols>
  <sheetData>
    <row r="1" spans="1:2" x14ac:dyDescent="0.25">
      <c r="A1" t="s">
        <v>180</v>
      </c>
    </row>
    <row r="3" spans="1:2" x14ac:dyDescent="0.25">
      <c r="A3" t="s">
        <v>178</v>
      </c>
      <c r="B3" s="534">
        <v>42171</v>
      </c>
    </row>
    <row r="4" spans="1:2" x14ac:dyDescent="0.25">
      <c r="A4" t="s">
        <v>179</v>
      </c>
      <c r="B4" t="s">
        <v>181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2942-EA35-4BE2-B3C3-EA86893BB2C8}">
  <dimension ref="A1:B4"/>
  <sheetViews>
    <sheetView workbookViewId="0">
      <selection activeCell="B14" sqref="B14"/>
    </sheetView>
  </sheetViews>
  <sheetFormatPr defaultRowHeight="15" x14ac:dyDescent="0.25"/>
  <cols>
    <col min="1" max="1" width="17" bestFit="1" customWidth="1"/>
    <col min="2" max="2" width="26.7109375" bestFit="1" customWidth="1"/>
  </cols>
  <sheetData>
    <row r="1" spans="1:2" x14ac:dyDescent="0.25">
      <c r="A1" t="s">
        <v>186</v>
      </c>
    </row>
    <row r="3" spans="1:2" x14ac:dyDescent="0.25">
      <c r="A3" t="s">
        <v>178</v>
      </c>
      <c r="B3" s="534">
        <v>41872</v>
      </c>
    </row>
    <row r="4" spans="1:2" x14ac:dyDescent="0.25">
      <c r="A4" t="s">
        <v>179</v>
      </c>
      <c r="B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K17B</vt:lpstr>
      <vt:lpstr>K17A</vt:lpstr>
      <vt:lpstr>K17C</vt:lpstr>
      <vt:lpstr>K17</vt:lpstr>
      <vt:lpstr>K29</vt:lpstr>
      <vt:lpstr>K53</vt:lpstr>
      <vt:lpstr>FedSampCores13-K53_2015.06.16</vt:lpstr>
      <vt:lpstr>Probe13-K17C_2015.06.16</vt:lpstr>
      <vt:lpstr>Probe 14-K29C_2014.08.21</vt:lpstr>
      <vt:lpstr>FedSampCores13-K17B_2015.06.06</vt:lpstr>
      <vt:lpstr>FedSampCores14-K29C_2015.06.06</vt:lpstr>
      <vt:lpstr>FedSampCores13-K17B_2015.09.23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2019-08-21T00:11:10Z</dcterms:created>
  <dcterms:modified xsi:type="dcterms:W3CDTF">2019-10-30T19:35:16Z</dcterms:modified>
</cp:coreProperties>
</file>