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김동요\jupyter\프로젝트\sam 구축\"/>
    </mc:Choice>
  </mc:AlternateContent>
  <bookViews>
    <workbookView xWindow="0" yWindow="0" windowWidth="28590" windowHeight="12570"/>
  </bookViews>
  <sheets>
    <sheet name="미시사회행렬초기21개" sheetId="34" r:id="rId1"/>
    <sheet name="거시 사회계정행렬" sheetId="3" r:id="rId2"/>
    <sheet name="미시사회계정행렬" sheetId="7" r:id="rId3"/>
    <sheet name="미시사회행렬국산" sheetId="17" r:id="rId4"/>
    <sheet name="미시사회계정행렬최종" sheetId="10" r:id="rId5"/>
    <sheet name="PEP국산노동세자본세" sheetId="24" r:id="rId6"/>
    <sheet name="PEP국산노동세자본세 (2)" sheetId="25" r:id="rId7"/>
    <sheet name="PEP국산" sheetId="23" r:id="rId8"/>
    <sheet name="PEP국산초기(- 포함)" sheetId="28" r:id="rId9"/>
    <sheet name="PEP국산초기 (0으로 변환)" sheetId="32" r:id="rId10"/>
    <sheet name="미시사회행렬초기" sheetId="26" r:id="rId11"/>
    <sheet name="PEP산업국산초기" sheetId="27" r:id="rId12"/>
    <sheet name="PEP노동및자본국산초기" sheetId="29" r:id="rId13"/>
    <sheet name="PEP노동및자본국산초기21개" sheetId="33" r:id="rId14"/>
    <sheet name="PEP상품및가계소비국산초기" sheetId="30" r:id="rId15"/>
    <sheet name="PEP수출입국산초기" sheetId="31" r:id="rId16"/>
    <sheet name="PEP산업국산" sheetId="11" r:id="rId17"/>
    <sheet name="PEP노동및자본국산" sheetId="20" r:id="rId18"/>
    <sheet name="PEP상품및가계소비국산" sheetId="21" r:id="rId19"/>
    <sheet name="PEP수출입국산" sheetId="22" r:id="rId20"/>
    <sheet name="PEP산업" sheetId="18" r:id="rId21"/>
    <sheet name="PEP노동및자본" sheetId="13" r:id="rId22"/>
    <sheet name="PEP상품및가계소비" sheetId="15" r:id="rId23"/>
    <sheet name="PEP수출입" sheetId="16" r:id="rId24"/>
    <sheet name="PEP" sheetId="14" r:id="rId2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7" i="33" l="1"/>
  <c r="B57" i="33"/>
  <c r="AH9" i="33"/>
  <c r="AH8" i="33"/>
  <c r="M35" i="29"/>
  <c r="B40" i="29"/>
  <c r="B54" i="29"/>
  <c r="B53" i="29"/>
  <c r="B52" i="29"/>
  <c r="N35" i="33"/>
  <c r="AC8" i="33"/>
  <c r="N8" i="33"/>
  <c r="M9" i="33"/>
  <c r="M8" i="33"/>
  <c r="B49" i="29" l="1"/>
  <c r="AL33" i="34"/>
  <c r="AJ33" i="34"/>
  <c r="AP33" i="34" s="1"/>
  <c r="AP3" i="34"/>
  <c r="AP4" i="34"/>
  <c r="AP5" i="34"/>
  <c r="AP6" i="34"/>
  <c r="AP7" i="34"/>
  <c r="AP8" i="34"/>
  <c r="AP9" i="34"/>
  <c r="AP10" i="34"/>
  <c r="AP11" i="34"/>
  <c r="AP12" i="34"/>
  <c r="AP13" i="34"/>
  <c r="AP14" i="34"/>
  <c r="AP15" i="34"/>
  <c r="AP16" i="34"/>
  <c r="AP17" i="34"/>
  <c r="AP18" i="34"/>
  <c r="AP19" i="34"/>
  <c r="AP20" i="34"/>
  <c r="AP21" i="34"/>
  <c r="AP22" i="34"/>
  <c r="AP24" i="34"/>
  <c r="AP25" i="34"/>
  <c r="AP26" i="34"/>
  <c r="AP32" i="34"/>
  <c r="AP34" i="34"/>
  <c r="AP35" i="34"/>
  <c r="AP36" i="34"/>
  <c r="AP38" i="34"/>
  <c r="AP39" i="34"/>
  <c r="AP40" i="34"/>
  <c r="AP41" i="34"/>
  <c r="D42" i="34"/>
  <c r="E42" i="34"/>
  <c r="F42" i="34"/>
  <c r="G42" i="34"/>
  <c r="H42" i="34"/>
  <c r="I42" i="34"/>
  <c r="J42" i="34"/>
  <c r="K42" i="34"/>
  <c r="L42" i="34"/>
  <c r="M42" i="34"/>
  <c r="N42" i="34"/>
  <c r="O42" i="34"/>
  <c r="P42" i="34"/>
  <c r="Q42" i="34"/>
  <c r="R42" i="34"/>
  <c r="S42" i="34"/>
  <c r="T42" i="34"/>
  <c r="U42" i="34"/>
  <c r="Y42" i="34"/>
  <c r="Z42" i="34"/>
  <c r="AA42" i="34"/>
  <c r="AB42" i="34"/>
  <c r="AC42" i="34"/>
  <c r="AD42" i="34"/>
  <c r="AE42" i="34"/>
  <c r="AF42" i="34"/>
  <c r="AG42" i="34"/>
  <c r="AH42" i="34"/>
  <c r="AI42" i="34"/>
  <c r="AJ42" i="34"/>
  <c r="AK42" i="34"/>
  <c r="AL42" i="34"/>
  <c r="AM42" i="34"/>
  <c r="AN42" i="34"/>
  <c r="AO42" i="34"/>
  <c r="P40" i="29" l="1"/>
  <c r="AC3" i="34" l="1"/>
  <c r="AD3" i="34"/>
  <c r="AE3" i="34"/>
  <c r="AC4" i="34"/>
  <c r="AD4" i="34"/>
  <c r="AE4" i="34"/>
  <c r="AC5" i="34"/>
  <c r="AD5" i="34"/>
  <c r="AE5" i="34"/>
  <c r="AC6" i="34"/>
  <c r="AD6" i="34"/>
  <c r="AE6" i="34"/>
  <c r="AC7" i="34"/>
  <c r="AD7" i="34"/>
  <c r="AE7" i="34"/>
  <c r="AC8" i="34"/>
  <c r="AD8" i="34"/>
  <c r="AE8" i="34"/>
  <c r="AC9" i="34"/>
  <c r="AD9" i="34"/>
  <c r="AE9" i="34"/>
  <c r="AC10" i="34"/>
  <c r="AD10" i="34"/>
  <c r="AE10" i="34"/>
  <c r="AC11" i="34"/>
  <c r="AD11" i="34"/>
  <c r="AE11" i="34"/>
  <c r="AC12" i="34"/>
  <c r="AD12" i="34"/>
  <c r="AE12" i="34"/>
  <c r="AC13" i="34"/>
  <c r="AD13" i="34"/>
  <c r="AE13" i="34"/>
  <c r="AC14" i="34"/>
  <c r="AD14" i="34"/>
  <c r="AE14" i="34"/>
  <c r="AC15" i="34"/>
  <c r="AD15" i="34"/>
  <c r="AE15" i="34"/>
  <c r="AC16" i="34"/>
  <c r="AD16" i="34"/>
  <c r="AE16" i="34"/>
  <c r="AC17" i="34"/>
  <c r="AD17" i="34"/>
  <c r="AE17" i="34"/>
  <c r="AC18" i="34"/>
  <c r="AD18" i="34"/>
  <c r="AE18" i="34"/>
  <c r="AC19" i="34"/>
  <c r="AD19" i="34"/>
  <c r="AE19" i="34"/>
  <c r="AC20" i="34"/>
  <c r="AD20" i="34"/>
  <c r="AE20" i="34"/>
  <c r="AC21" i="34"/>
  <c r="AD21" i="34"/>
  <c r="AE21" i="34"/>
  <c r="AC22" i="34"/>
  <c r="AD22" i="34"/>
  <c r="AE22" i="34"/>
  <c r="AC23" i="34"/>
  <c r="AD23" i="34"/>
  <c r="AE23" i="34"/>
  <c r="AC24" i="34"/>
  <c r="AD24" i="34"/>
  <c r="AE24" i="34"/>
  <c r="AC2" i="34"/>
  <c r="AD2" i="34"/>
  <c r="AE2" i="34"/>
  <c r="AB3" i="34"/>
  <c r="AB4" i="34"/>
  <c r="AB5" i="34"/>
  <c r="AB6" i="34"/>
  <c r="AB7" i="34"/>
  <c r="AB8" i="34"/>
  <c r="AB9" i="34"/>
  <c r="AB10" i="34"/>
  <c r="AB11" i="34"/>
  <c r="AB12" i="34"/>
  <c r="AB13" i="34"/>
  <c r="AB14" i="34"/>
  <c r="AB15" i="34"/>
  <c r="AB16" i="34"/>
  <c r="AB17" i="34"/>
  <c r="AB18" i="34"/>
  <c r="AB19" i="34"/>
  <c r="AB20" i="34"/>
  <c r="AB21" i="34"/>
  <c r="AB22" i="34"/>
  <c r="AB23" i="34"/>
  <c r="AB24" i="34"/>
  <c r="AB2" i="34"/>
  <c r="AA24" i="34"/>
  <c r="AA3" i="34"/>
  <c r="AA4" i="34"/>
  <c r="AA5" i="34"/>
  <c r="AA6" i="34"/>
  <c r="AA7" i="34"/>
  <c r="AA8" i="34"/>
  <c r="AA9" i="34"/>
  <c r="AA10" i="34"/>
  <c r="AA11" i="34"/>
  <c r="AA12" i="34"/>
  <c r="AA13" i="34"/>
  <c r="AA14" i="34"/>
  <c r="AA15" i="34"/>
  <c r="AA16" i="34"/>
  <c r="AA17" i="34"/>
  <c r="AA18" i="34"/>
  <c r="AA19" i="34"/>
  <c r="AA20" i="34"/>
  <c r="AA21" i="34"/>
  <c r="AA22" i="34"/>
  <c r="AA23" i="34"/>
  <c r="AA2" i="34"/>
  <c r="F2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" i="33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" i="33"/>
  <c r="N9" i="33"/>
  <c r="O9" i="33"/>
  <c r="P9" i="33"/>
  <c r="Q9" i="33"/>
  <c r="R9" i="33"/>
  <c r="S9" i="33"/>
  <c r="T9" i="33"/>
  <c r="U9" i="33"/>
  <c r="V9" i="33"/>
  <c r="W9" i="33"/>
  <c r="X9" i="33"/>
  <c r="Y9" i="33"/>
  <c r="Z9" i="33"/>
  <c r="AA9" i="33"/>
  <c r="AB9" i="33"/>
  <c r="AC9" i="33"/>
  <c r="AD9" i="33"/>
  <c r="AE9" i="33"/>
  <c r="AF9" i="33"/>
  <c r="AG9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D8" i="33"/>
  <c r="AE8" i="33"/>
  <c r="AF8" i="33"/>
  <c r="AG8" i="33"/>
  <c r="AB36" i="33"/>
  <c r="AA36" i="33"/>
  <c r="AB27" i="33"/>
  <c r="AA27" i="33"/>
  <c r="AB24" i="33"/>
  <c r="AB37" i="33" s="1"/>
  <c r="AA24" i="33"/>
  <c r="AA37" i="33" s="1"/>
  <c r="AB16" i="33"/>
  <c r="AA16" i="33"/>
  <c r="M15" i="33"/>
  <c r="O15" i="33"/>
  <c r="P15" i="33"/>
  <c r="O16" i="33"/>
  <c r="P16" i="33"/>
  <c r="M17" i="33"/>
  <c r="O17" i="33"/>
  <c r="P17" i="33"/>
  <c r="O18" i="33"/>
  <c r="P18" i="33"/>
  <c r="M19" i="33"/>
  <c r="O19" i="33"/>
  <c r="P19" i="33"/>
  <c r="M20" i="33"/>
  <c r="M16" i="33" s="1"/>
  <c r="N20" i="33"/>
  <c r="N15" i="33" s="1"/>
  <c r="Q35" i="33"/>
  <c r="Q36" i="33"/>
  <c r="C42" i="34" l="1"/>
  <c r="AP23" i="34"/>
  <c r="N18" i="33"/>
  <c r="M18" i="33"/>
  <c r="N16" i="33"/>
  <c r="N19" i="33"/>
  <c r="N17" i="33"/>
  <c r="B42" i="34" l="1"/>
  <c r="AG35" i="34"/>
  <c r="AG34" i="34" s="1"/>
  <c r="AF35" i="34"/>
  <c r="AF34" i="34"/>
  <c r="AP2" i="34"/>
  <c r="E56" i="33"/>
  <c r="D56" i="33"/>
  <c r="E55" i="33"/>
  <c r="D55" i="33"/>
  <c r="E54" i="33"/>
  <c r="D54" i="33"/>
  <c r="E53" i="33"/>
  <c r="D53" i="33"/>
  <c r="E52" i="33"/>
  <c r="D52" i="33"/>
  <c r="G49" i="33"/>
  <c r="G47" i="33"/>
  <c r="D46" i="33"/>
  <c r="P40" i="33"/>
  <c r="O40" i="33"/>
  <c r="Q40" i="33" s="1"/>
  <c r="M40" i="33"/>
  <c r="Q39" i="33"/>
  <c r="Q38" i="33"/>
  <c r="Q37" i="33"/>
  <c r="F35" i="33"/>
  <c r="E35" i="33"/>
  <c r="D35" i="33"/>
  <c r="C35" i="33"/>
  <c r="B35" i="33"/>
  <c r="F34" i="33"/>
  <c r="E34" i="33"/>
  <c r="D34" i="33"/>
  <c r="G31" i="33"/>
  <c r="F31" i="33"/>
  <c r="E31" i="33"/>
  <c r="D31" i="33"/>
  <c r="C31" i="33"/>
  <c r="C34" i="33" s="1"/>
  <c r="B31" i="33"/>
  <c r="B34" i="33" s="1"/>
  <c r="F28" i="33"/>
  <c r="E28" i="33"/>
  <c r="D28" i="33"/>
  <c r="C28" i="33"/>
  <c r="B28" i="33"/>
  <c r="F27" i="33"/>
  <c r="G27" i="33" s="1"/>
  <c r="E26" i="33"/>
  <c r="D26" i="33"/>
  <c r="C26" i="33"/>
  <c r="B26" i="33"/>
  <c r="G26" i="33" s="1"/>
  <c r="I22" i="33"/>
  <c r="I21" i="33"/>
  <c r="I20" i="33"/>
  <c r="I19" i="33"/>
  <c r="I18" i="33"/>
  <c r="F29" i="33" s="1"/>
  <c r="I17" i="33"/>
  <c r="I16" i="33"/>
  <c r="I15" i="33"/>
  <c r="I14" i="33"/>
  <c r="I13" i="33"/>
  <c r="I12" i="33"/>
  <c r="I11" i="33"/>
  <c r="I10" i="33"/>
  <c r="I9" i="33"/>
  <c r="E29" i="33" s="1"/>
  <c r="I8" i="33"/>
  <c r="I7" i="33"/>
  <c r="I6" i="33"/>
  <c r="D29" i="33" s="1"/>
  <c r="I5" i="33"/>
  <c r="AH4" i="33"/>
  <c r="I4" i="33"/>
  <c r="C29" i="33" s="1"/>
  <c r="AH3" i="33"/>
  <c r="I3" i="33"/>
  <c r="AH2" i="33"/>
  <c r="I2" i="33"/>
  <c r="B29" i="33" s="1"/>
  <c r="G35" i="33" l="1"/>
  <c r="H35" i="33" s="1"/>
  <c r="C46" i="33" s="1"/>
  <c r="R39" i="33"/>
  <c r="N36" i="33"/>
  <c r="C49" i="33" s="1"/>
  <c r="F47" i="33"/>
  <c r="E44" i="33"/>
  <c r="G28" i="33"/>
  <c r="R35" i="33"/>
  <c r="E40" i="33" s="1"/>
  <c r="R37" i="33"/>
  <c r="E42" i="33" s="1"/>
  <c r="R38" i="33"/>
  <c r="E43" i="33" s="1"/>
  <c r="R36" i="33"/>
  <c r="E41" i="33" s="1"/>
  <c r="G34" i="33"/>
  <c r="N39" i="33"/>
  <c r="F49" i="33" s="1"/>
  <c r="D44" i="33"/>
  <c r="Y31" i="34" s="1"/>
  <c r="N37" i="33"/>
  <c r="D49" i="33" s="1"/>
  <c r="B49" i="33"/>
  <c r="N38" i="33"/>
  <c r="E49" i="33" s="1"/>
  <c r="AO45" i="32"/>
  <c r="AN45" i="32"/>
  <c r="AK45" i="32"/>
  <c r="V45" i="32"/>
  <c r="Q43" i="32"/>
  <c r="P43" i="32"/>
  <c r="AS43" i="32" s="1"/>
  <c r="Q42" i="32"/>
  <c r="P42" i="32"/>
  <c r="O42" i="32"/>
  <c r="N42" i="32"/>
  <c r="AS42" i="32" s="1"/>
  <c r="M42" i="32"/>
  <c r="L42" i="32"/>
  <c r="K42" i="32"/>
  <c r="Z41" i="32"/>
  <c r="AS41" i="32" s="1"/>
  <c r="Z40" i="32"/>
  <c r="AS40" i="32" s="1"/>
  <c r="AS39" i="32"/>
  <c r="Z39" i="32"/>
  <c r="Z38" i="32"/>
  <c r="AS38" i="32" s="1"/>
  <c r="Z37" i="32"/>
  <c r="Z45" i="32" s="1"/>
  <c r="AR36" i="32"/>
  <c r="AQ36" i="32"/>
  <c r="AQ45" i="32" s="1"/>
  <c r="AP36" i="32"/>
  <c r="AE36" i="32"/>
  <c r="AD36" i="32"/>
  <c r="AC36" i="32"/>
  <c r="AB36" i="32"/>
  <c r="AA36" i="32"/>
  <c r="Q36" i="32"/>
  <c r="P36" i="32"/>
  <c r="O36" i="32"/>
  <c r="N36" i="32"/>
  <c r="M36" i="32"/>
  <c r="L36" i="32"/>
  <c r="K36" i="32"/>
  <c r="AS36" i="32" s="1"/>
  <c r="AR35" i="32"/>
  <c r="AP35" i="32"/>
  <c r="AE35" i="32"/>
  <c r="AD35" i="32"/>
  <c r="AC35" i="32"/>
  <c r="AB35" i="32"/>
  <c r="AA35" i="32"/>
  <c r="Q35" i="32"/>
  <c r="P35" i="32"/>
  <c r="O35" i="32"/>
  <c r="N35" i="32"/>
  <c r="M35" i="32"/>
  <c r="L35" i="32"/>
  <c r="K35" i="32"/>
  <c r="AS35" i="32" s="1"/>
  <c r="AR34" i="32"/>
  <c r="AP34" i="32"/>
  <c r="AE34" i="32"/>
  <c r="AD34" i="32"/>
  <c r="AC34" i="32"/>
  <c r="AB34" i="32"/>
  <c r="AA34" i="32"/>
  <c r="Q34" i="32"/>
  <c r="P34" i="32" s="1"/>
  <c r="O34" i="32"/>
  <c r="N34" i="32"/>
  <c r="AS34" i="32" s="1"/>
  <c r="M34" i="32"/>
  <c r="L34" i="32"/>
  <c r="K34" i="32"/>
  <c r="AR33" i="32"/>
  <c r="AP33" i="32" s="1"/>
  <c r="AE33" i="32"/>
  <c r="AD33" i="32"/>
  <c r="AC33" i="32"/>
  <c r="AB33" i="32"/>
  <c r="AA33" i="32"/>
  <c r="Q33" i="32"/>
  <c r="Q45" i="32" s="1"/>
  <c r="P33" i="32"/>
  <c r="O33" i="32"/>
  <c r="N33" i="32"/>
  <c r="N45" i="32" s="1"/>
  <c r="M33" i="32"/>
  <c r="AS33" i="32" s="1"/>
  <c r="L33" i="32"/>
  <c r="K33" i="32"/>
  <c r="AR32" i="32"/>
  <c r="AR45" i="32" s="1"/>
  <c r="AP44" i="32" s="1"/>
  <c r="AS44" i="32" s="1"/>
  <c r="AP32" i="32"/>
  <c r="AE32" i="32"/>
  <c r="AD32" i="32"/>
  <c r="AC32" i="32"/>
  <c r="AC45" i="32" s="1"/>
  <c r="AB32" i="32"/>
  <c r="AA32" i="32"/>
  <c r="Q32" i="32"/>
  <c r="P32" i="32"/>
  <c r="O32" i="32"/>
  <c r="O45" i="32" s="1"/>
  <c r="N32" i="32"/>
  <c r="M32" i="32"/>
  <c r="L32" i="32"/>
  <c r="L45" i="32" s="1"/>
  <c r="K32" i="32"/>
  <c r="K45" i="32" s="1"/>
  <c r="AO31" i="32"/>
  <c r="AJ31" i="32"/>
  <c r="AS31" i="32" s="1"/>
  <c r="AS30" i="32"/>
  <c r="AN30" i="32"/>
  <c r="AI30" i="32"/>
  <c r="AS29" i="32"/>
  <c r="AM29" i="32"/>
  <c r="AM45" i="32" s="1"/>
  <c r="AH29" i="32"/>
  <c r="AL28" i="32"/>
  <c r="AL45" i="32" s="1"/>
  <c r="AG28" i="32"/>
  <c r="AS28" i="32" s="1"/>
  <c r="AK27" i="32"/>
  <c r="AF27" i="32"/>
  <c r="AS27" i="32" s="1"/>
  <c r="AJ26" i="32"/>
  <c r="AI26" i="32"/>
  <c r="AH26" i="32"/>
  <c r="AG26" i="32"/>
  <c r="AF26" i="32"/>
  <c r="AS26" i="32" s="1"/>
  <c r="AS25" i="32"/>
  <c r="Y17" i="32" s="1"/>
  <c r="Y45" i="32" s="1"/>
  <c r="AS24" i="32"/>
  <c r="X17" i="32" s="1"/>
  <c r="X45" i="32" s="1"/>
  <c r="AS23" i="32"/>
  <c r="AS22" i="32"/>
  <c r="AJ21" i="32"/>
  <c r="AJ45" i="32" s="1"/>
  <c r="AI21" i="32"/>
  <c r="AI45" i="32" s="1"/>
  <c r="AH21" i="32"/>
  <c r="AH45" i="32" s="1"/>
  <c r="AG21" i="32"/>
  <c r="AG45" i="32" s="1"/>
  <c r="AF21" i="32"/>
  <c r="U17" i="32" s="1"/>
  <c r="U45" i="32" s="1"/>
  <c r="AS20" i="32"/>
  <c r="P19" i="32"/>
  <c r="AS19" i="32" s="1"/>
  <c r="AS18" i="32"/>
  <c r="W17" i="32"/>
  <c r="W45" i="32" s="1"/>
  <c r="V17" i="32"/>
  <c r="T17" i="32"/>
  <c r="T45" i="32" s="1"/>
  <c r="S17" i="32"/>
  <c r="S45" i="32" s="1"/>
  <c r="R17" i="32"/>
  <c r="P17" i="32"/>
  <c r="G17" i="32"/>
  <c r="AS16" i="32"/>
  <c r="J16" i="32"/>
  <c r="I16" i="32"/>
  <c r="J15" i="32"/>
  <c r="G15" i="32"/>
  <c r="J14" i="32"/>
  <c r="G14" i="32"/>
  <c r="J13" i="32"/>
  <c r="G13" i="32"/>
  <c r="J12" i="32"/>
  <c r="G12" i="32"/>
  <c r="J11" i="32"/>
  <c r="G11" i="32"/>
  <c r="G45" i="32" s="1"/>
  <c r="AE10" i="32"/>
  <c r="AD10" i="32"/>
  <c r="AC10" i="32"/>
  <c r="AB10" i="32"/>
  <c r="AS10" i="32" s="1"/>
  <c r="AA10" i="32"/>
  <c r="AE9" i="32"/>
  <c r="AD9" i="32"/>
  <c r="AC9" i="32"/>
  <c r="AB9" i="32"/>
  <c r="AA9" i="32"/>
  <c r="AS9" i="32" s="1"/>
  <c r="AE8" i="32"/>
  <c r="AD8" i="32"/>
  <c r="AC8" i="32"/>
  <c r="AB8" i="32"/>
  <c r="AE7" i="32"/>
  <c r="AE45" i="32" s="1"/>
  <c r="AD7" i="32"/>
  <c r="AS7" i="32" s="1"/>
  <c r="AC7" i="32"/>
  <c r="AB7" i="32"/>
  <c r="AB45" i="32" s="1"/>
  <c r="AA7" i="32"/>
  <c r="U17" i="28"/>
  <c r="T17" i="28"/>
  <c r="R17" i="28"/>
  <c r="AQ36" i="28"/>
  <c r="AP35" i="28"/>
  <c r="AP34" i="28"/>
  <c r="AP33" i="28"/>
  <c r="AP36" i="28"/>
  <c r="AP32" i="28"/>
  <c r="AR36" i="28"/>
  <c r="AR35" i="28"/>
  <c r="AR34" i="28"/>
  <c r="AR33" i="28"/>
  <c r="AR32" i="28"/>
  <c r="Z41" i="28"/>
  <c r="Z40" i="28"/>
  <c r="Z39" i="28"/>
  <c r="Z38" i="28"/>
  <c r="Z37" i="28"/>
  <c r="AO31" i="28"/>
  <c r="AN30" i="28"/>
  <c r="AM29" i="28"/>
  <c r="AL28" i="28"/>
  <c r="AK27" i="28"/>
  <c r="AJ31" i="28"/>
  <c r="AI30" i="28"/>
  <c r="AH29" i="28"/>
  <c r="AG28" i="28"/>
  <c r="AF27" i="28"/>
  <c r="AG26" i="28"/>
  <c r="AH26" i="28"/>
  <c r="AI26" i="28"/>
  <c r="AJ26" i="28"/>
  <c r="AF26" i="28"/>
  <c r="AG21" i="28"/>
  <c r="AH21" i="28"/>
  <c r="AI21" i="28"/>
  <c r="AJ21" i="28"/>
  <c r="AF21" i="28"/>
  <c r="F35" i="31"/>
  <c r="E34" i="31"/>
  <c r="D33" i="31"/>
  <c r="C32" i="31"/>
  <c r="B31" i="31"/>
  <c r="AF16" i="31"/>
  <c r="AE16" i="31"/>
  <c r="AD16" i="31"/>
  <c r="AC16" i="31"/>
  <c r="P35" i="31" s="1"/>
  <c r="P44" i="31" s="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N33" i="31" s="1"/>
  <c r="O16" i="31"/>
  <c r="O34" i="31" s="1"/>
  <c r="O43" i="31" s="1"/>
  <c r="N16" i="31"/>
  <c r="M32" i="31" s="1"/>
  <c r="M16" i="31"/>
  <c r="L31" i="31" s="1"/>
  <c r="L40" i="31" s="1"/>
  <c r="L16" i="31"/>
  <c r="P13" i="31"/>
  <c r="O13" i="31"/>
  <c r="N13" i="31"/>
  <c r="M13" i="31"/>
  <c r="L13" i="31"/>
  <c r="P12" i="31"/>
  <c r="O12" i="31"/>
  <c r="N12" i="31"/>
  <c r="M12" i="31"/>
  <c r="Q12" i="31" s="1"/>
  <c r="L12" i="31"/>
  <c r="P11" i="31"/>
  <c r="O11" i="31"/>
  <c r="N11" i="31"/>
  <c r="M11" i="31"/>
  <c r="L11" i="31"/>
  <c r="J16" i="28"/>
  <c r="I16" i="28"/>
  <c r="Q33" i="28"/>
  <c r="Q34" i="28"/>
  <c r="Q35" i="28"/>
  <c r="Q36" i="28"/>
  <c r="Q32" i="28"/>
  <c r="P19" i="28"/>
  <c r="S17" i="28"/>
  <c r="P17" i="28"/>
  <c r="G49" i="29"/>
  <c r="Q43" i="28"/>
  <c r="P43" i="28"/>
  <c r="Q42" i="28"/>
  <c r="P42" i="28"/>
  <c r="L42" i="28"/>
  <c r="M42" i="28"/>
  <c r="N42" i="28"/>
  <c r="O42" i="28"/>
  <c r="G47" i="29"/>
  <c r="K33" i="28"/>
  <c r="L33" i="28"/>
  <c r="M33" i="28"/>
  <c r="N33" i="28"/>
  <c r="O33" i="28"/>
  <c r="K34" i="28"/>
  <c r="L34" i="28"/>
  <c r="M34" i="28"/>
  <c r="N34" i="28"/>
  <c r="O34" i="28"/>
  <c r="K35" i="28"/>
  <c r="L35" i="28"/>
  <c r="M35" i="28"/>
  <c r="N35" i="28"/>
  <c r="O35" i="28"/>
  <c r="K36" i="28"/>
  <c r="L36" i="28"/>
  <c r="M36" i="28"/>
  <c r="N36" i="28"/>
  <c r="O36" i="28"/>
  <c r="M32" i="28"/>
  <c r="N32" i="28"/>
  <c r="O32" i="28"/>
  <c r="L32" i="28"/>
  <c r="K32" i="28"/>
  <c r="I31" i="30"/>
  <c r="H31" i="30"/>
  <c r="M23" i="30"/>
  <c r="P40" i="30"/>
  <c r="O40" i="30"/>
  <c r="N40" i="30"/>
  <c r="L40" i="30"/>
  <c r="M38" i="30" s="1"/>
  <c r="P39" i="30"/>
  <c r="Q39" i="30" s="1"/>
  <c r="M39" i="30"/>
  <c r="Q38" i="30"/>
  <c r="P38" i="30"/>
  <c r="P37" i="30"/>
  <c r="Q37" i="30" s="1"/>
  <c r="M37" i="30"/>
  <c r="P36" i="30"/>
  <c r="Q36" i="30" s="1"/>
  <c r="M36" i="30"/>
  <c r="Q35" i="30"/>
  <c r="P35" i="30"/>
  <c r="I30" i="30"/>
  <c r="G30" i="30"/>
  <c r="D30" i="30" s="1"/>
  <c r="I29" i="30"/>
  <c r="G29" i="30"/>
  <c r="C29" i="30" s="1"/>
  <c r="I28" i="30"/>
  <c r="G28" i="30"/>
  <c r="D28" i="30"/>
  <c r="C28" i="30"/>
  <c r="I27" i="30"/>
  <c r="G27" i="30"/>
  <c r="C27" i="30" s="1"/>
  <c r="I26" i="30"/>
  <c r="G26" i="30"/>
  <c r="C26" i="30" s="1"/>
  <c r="L23" i="30"/>
  <c r="D46" i="29"/>
  <c r="G12" i="28"/>
  <c r="G13" i="28"/>
  <c r="G14" i="28"/>
  <c r="G15" i="28"/>
  <c r="G11" i="28"/>
  <c r="AA10" i="28"/>
  <c r="AB10" i="28"/>
  <c r="AC10" i="28"/>
  <c r="AD10" i="28"/>
  <c r="AE10" i="28"/>
  <c r="AB9" i="28"/>
  <c r="AC9" i="28"/>
  <c r="AD9" i="28"/>
  <c r="AE9" i="28"/>
  <c r="AA9" i="28"/>
  <c r="AB8" i="28"/>
  <c r="AC8" i="28"/>
  <c r="AD8" i="28"/>
  <c r="AE8" i="28"/>
  <c r="AB7" i="28"/>
  <c r="AC7" i="28"/>
  <c r="AD7" i="28"/>
  <c r="AE7" i="28"/>
  <c r="AA7" i="28"/>
  <c r="C45" i="33" l="1"/>
  <c r="C47" i="33"/>
  <c r="B47" i="33"/>
  <c r="D41" i="33"/>
  <c r="Y28" i="34" s="1"/>
  <c r="D40" i="33"/>
  <c r="Y27" i="34" s="1"/>
  <c r="D43" i="33"/>
  <c r="Y30" i="34" s="1"/>
  <c r="D42" i="33"/>
  <c r="Y29" i="34" s="1"/>
  <c r="B45" i="33"/>
  <c r="H34" i="33"/>
  <c r="B46" i="33" s="1"/>
  <c r="G37" i="33"/>
  <c r="C43" i="33"/>
  <c r="C40" i="33"/>
  <c r="C41" i="33"/>
  <c r="C44" i="33"/>
  <c r="C42" i="33"/>
  <c r="D47" i="33"/>
  <c r="E47" i="33"/>
  <c r="C56" i="33"/>
  <c r="C54" i="33"/>
  <c r="C52" i="33"/>
  <c r="X42" i="34" s="1"/>
  <c r="C55" i="33"/>
  <c r="C53" i="33"/>
  <c r="AS17" i="32"/>
  <c r="P45" i="32"/>
  <c r="AP45" i="32"/>
  <c r="AF45" i="32"/>
  <c r="AS37" i="32"/>
  <c r="AS21" i="32"/>
  <c r="AS32" i="32"/>
  <c r="J45" i="32"/>
  <c r="R45" i="32"/>
  <c r="M45" i="32"/>
  <c r="AD45" i="32"/>
  <c r="M41" i="31"/>
  <c r="N42" i="31"/>
  <c r="G36" i="31"/>
  <c r="G32" i="31" s="1"/>
  <c r="Q13" i="31"/>
  <c r="Q11" i="31"/>
  <c r="D27" i="30"/>
  <c r="F26" i="30"/>
  <c r="E26" i="30"/>
  <c r="D26" i="30"/>
  <c r="F27" i="30"/>
  <c r="E27" i="30"/>
  <c r="E28" i="30"/>
  <c r="E29" i="30"/>
  <c r="D29" i="30"/>
  <c r="E30" i="30"/>
  <c r="F29" i="30"/>
  <c r="M35" i="30"/>
  <c r="B29" i="30"/>
  <c r="C30" i="30"/>
  <c r="F30" i="30"/>
  <c r="F28" i="30"/>
  <c r="G31" i="30"/>
  <c r="B54" i="33" l="1"/>
  <c r="AP29" i="34" s="1"/>
  <c r="B52" i="33"/>
  <c r="B56" i="33"/>
  <c r="AP31" i="34" s="1"/>
  <c r="B55" i="33"/>
  <c r="AP30" i="34" s="1"/>
  <c r="B53" i="33"/>
  <c r="AP28" i="34" s="1"/>
  <c r="B43" i="33"/>
  <c r="B41" i="33"/>
  <c r="B40" i="33"/>
  <c r="B44" i="33"/>
  <c r="B42" i="33"/>
  <c r="G33" i="31"/>
  <c r="G34" i="31"/>
  <c r="G35" i="31"/>
  <c r="G31" i="31"/>
  <c r="B26" i="30"/>
  <c r="B27" i="30"/>
  <c r="B30" i="30"/>
  <c r="B28" i="30"/>
  <c r="G31" i="29"/>
  <c r="AG4" i="29"/>
  <c r="E56" i="29"/>
  <c r="D56" i="29"/>
  <c r="E55" i="29"/>
  <c r="D55" i="29"/>
  <c r="E54" i="29"/>
  <c r="D54" i="29"/>
  <c r="E53" i="29"/>
  <c r="D53" i="29"/>
  <c r="E52" i="29"/>
  <c r="D52" i="29"/>
  <c r="Q38" i="29"/>
  <c r="O40" i="29"/>
  <c r="N40" i="29"/>
  <c r="L40" i="29"/>
  <c r="M39" i="29" s="1"/>
  <c r="F49" i="29" s="1"/>
  <c r="Q39" i="29"/>
  <c r="E44" i="29" s="1"/>
  <c r="P39" i="29"/>
  <c r="P38" i="29"/>
  <c r="P37" i="29"/>
  <c r="Q37" i="29" s="1"/>
  <c r="M37" i="29"/>
  <c r="P36" i="29"/>
  <c r="Q36" i="29" s="1"/>
  <c r="E41" i="29" s="1"/>
  <c r="P35" i="29"/>
  <c r="Q35" i="29" s="1"/>
  <c r="E40" i="29" s="1"/>
  <c r="B35" i="29"/>
  <c r="B34" i="29"/>
  <c r="F31" i="29"/>
  <c r="F34" i="29" s="1"/>
  <c r="E31" i="29"/>
  <c r="E34" i="29" s="1"/>
  <c r="D31" i="29"/>
  <c r="D34" i="29" s="1"/>
  <c r="C31" i="29"/>
  <c r="C34" i="29" s="1"/>
  <c r="B31" i="29"/>
  <c r="B29" i="29"/>
  <c r="F28" i="29"/>
  <c r="E28" i="29"/>
  <c r="D28" i="29"/>
  <c r="C28" i="29"/>
  <c r="B28" i="29"/>
  <c r="F27" i="29"/>
  <c r="G27" i="29" s="1"/>
  <c r="E26" i="29"/>
  <c r="D26" i="29"/>
  <c r="C26" i="29"/>
  <c r="G26" i="29" s="1"/>
  <c r="G28" i="29" s="1"/>
  <c r="B26" i="29"/>
  <c r="I22" i="29"/>
  <c r="I21" i="29"/>
  <c r="I20" i="29"/>
  <c r="I19" i="29"/>
  <c r="I18" i="29"/>
  <c r="F29" i="29" s="1"/>
  <c r="I17" i="29"/>
  <c r="I16" i="29"/>
  <c r="I15" i="29"/>
  <c r="I14" i="29"/>
  <c r="I13" i="29"/>
  <c r="I12" i="29"/>
  <c r="I11" i="29"/>
  <c r="I10" i="29"/>
  <c r="I9" i="29"/>
  <c r="I8" i="29"/>
  <c r="I7" i="29"/>
  <c r="I6" i="29"/>
  <c r="D29" i="29" s="1"/>
  <c r="I5" i="29"/>
  <c r="E29" i="29" s="1"/>
  <c r="I4" i="29"/>
  <c r="C29" i="29" s="1"/>
  <c r="AG3" i="29"/>
  <c r="I3" i="29"/>
  <c r="AG2" i="29"/>
  <c r="I2" i="29"/>
  <c r="AA33" i="28"/>
  <c r="AB33" i="28"/>
  <c r="AC33" i="28"/>
  <c r="AD33" i="28"/>
  <c r="AE33" i="28"/>
  <c r="AA34" i="28"/>
  <c r="AB34" i="28"/>
  <c r="AC34" i="28"/>
  <c r="AD34" i="28"/>
  <c r="AE34" i="28"/>
  <c r="AA35" i="28"/>
  <c r="AB35" i="28"/>
  <c r="AC35" i="28"/>
  <c r="AD35" i="28"/>
  <c r="AE35" i="28"/>
  <c r="AA36" i="28"/>
  <c r="AB36" i="28"/>
  <c r="AC36" i="28"/>
  <c r="AD36" i="28"/>
  <c r="AE36" i="28"/>
  <c r="AB32" i="28"/>
  <c r="AC32" i="28"/>
  <c r="AD32" i="28"/>
  <c r="AE32" i="28"/>
  <c r="AA32" i="28"/>
  <c r="AR45" i="28"/>
  <c r="AP44" i="28" s="1"/>
  <c r="AQ45" i="28"/>
  <c r="AO45" i="28"/>
  <c r="AL45" i="28"/>
  <c r="AI45" i="28"/>
  <c r="AG45" i="28"/>
  <c r="U45" i="28"/>
  <c r="T45" i="28"/>
  <c r="S45" i="28"/>
  <c r="R45" i="28"/>
  <c r="AS44" i="28"/>
  <c r="AS43" i="28"/>
  <c r="AS42" i="28"/>
  <c r="K42" i="28"/>
  <c r="AS41" i="28"/>
  <c r="AS40" i="28"/>
  <c r="AS39" i="28"/>
  <c r="AS38" i="28"/>
  <c r="AS37" i="28"/>
  <c r="Z45" i="28"/>
  <c r="P36" i="28"/>
  <c r="Q45" i="28"/>
  <c r="P34" i="28"/>
  <c r="P33" i="28"/>
  <c r="P32" i="28"/>
  <c r="L45" i="28"/>
  <c r="AS31" i="28"/>
  <c r="AN45" i="28"/>
  <c r="AS30" i="28"/>
  <c r="AM45" i="28"/>
  <c r="AH45" i="28"/>
  <c r="AS28" i="28"/>
  <c r="AK45" i="28"/>
  <c r="AS27" i="28"/>
  <c r="AS26" i="28"/>
  <c r="AP45" i="28"/>
  <c r="AS25" i="28"/>
  <c r="Y17" i="28" s="1"/>
  <c r="Y45" i="28" s="1"/>
  <c r="AS24" i="28"/>
  <c r="X17" i="28" s="1"/>
  <c r="X45" i="28" s="1"/>
  <c r="AS23" i="28"/>
  <c r="W17" i="28" s="1"/>
  <c r="W45" i="28" s="1"/>
  <c r="AS22" i="28"/>
  <c r="AJ45" i="28"/>
  <c r="AF45" i="28"/>
  <c r="AS20" i="28"/>
  <c r="AS19" i="28"/>
  <c r="O45" i="28"/>
  <c r="AS18" i="28"/>
  <c r="M45" i="28"/>
  <c r="V17" i="28"/>
  <c r="V45" i="28" s="1"/>
  <c r="G17" i="28"/>
  <c r="AS16" i="28"/>
  <c r="J15" i="28"/>
  <c r="J14" i="28"/>
  <c r="J13" i="28"/>
  <c r="J12" i="28"/>
  <c r="J11" i="28"/>
  <c r="J45" i="28" s="1"/>
  <c r="G45" i="28"/>
  <c r="AS10" i="28"/>
  <c r="AS9" i="28"/>
  <c r="K31" i="27" a="1"/>
  <c r="W35" i="27" s="1"/>
  <c r="AJ37" i="26"/>
  <c r="AI37" i="26"/>
  <c r="AH37" i="26"/>
  <c r="AG37" i="26"/>
  <c r="AF37" i="26"/>
  <c r="AE37" i="26"/>
  <c r="AD37" i="26"/>
  <c r="AC37" i="26"/>
  <c r="Z37" i="26"/>
  <c r="Y37" i="26"/>
  <c r="X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C37" i="26"/>
  <c r="B37" i="26"/>
  <c r="AK36" i="26"/>
  <c r="AK35" i="26"/>
  <c r="AK34" i="26"/>
  <c r="AK33" i="26"/>
  <c r="AK32" i="26"/>
  <c r="AK31" i="26"/>
  <c r="AB30" i="26"/>
  <c r="AB29" i="26" s="1"/>
  <c r="AB37" i="26" s="1"/>
  <c r="AA30" i="26"/>
  <c r="AK30" i="26" s="1"/>
  <c r="AK28" i="26"/>
  <c r="AK27" i="26"/>
  <c r="W26" i="26"/>
  <c r="AK26" i="26" s="1"/>
  <c r="AK25" i="26"/>
  <c r="AK24" i="26"/>
  <c r="AK23" i="26"/>
  <c r="AK22" i="26"/>
  <c r="AK21" i="26"/>
  <c r="AK20" i="26"/>
  <c r="AK19" i="26"/>
  <c r="AK18" i="26"/>
  <c r="AK17" i="26"/>
  <c r="AK16" i="26"/>
  <c r="AK15" i="26"/>
  <c r="AK14" i="26"/>
  <c r="AK13" i="26"/>
  <c r="AK12" i="26"/>
  <c r="AK11" i="26"/>
  <c r="AK10" i="26"/>
  <c r="AK9" i="26"/>
  <c r="AK8" i="26"/>
  <c r="AK7" i="26"/>
  <c r="AK6" i="26"/>
  <c r="AK5" i="26"/>
  <c r="AK4" i="26"/>
  <c r="AK3" i="26"/>
  <c r="AK2" i="26"/>
  <c r="AP27" i="34" l="1"/>
  <c r="W42" i="34"/>
  <c r="AA8" i="28"/>
  <c r="AS8" i="28" s="1"/>
  <c r="AA8" i="32"/>
  <c r="D44" i="29"/>
  <c r="W37" i="26"/>
  <c r="AA29" i="26"/>
  <c r="AA37" i="26" s="1"/>
  <c r="G34" i="29"/>
  <c r="B57" i="29" s="1"/>
  <c r="E47" i="29"/>
  <c r="E43" i="29"/>
  <c r="E42" i="29"/>
  <c r="D47" i="29"/>
  <c r="C47" i="29"/>
  <c r="F47" i="29"/>
  <c r="C35" i="29"/>
  <c r="M38" i="29"/>
  <c r="E49" i="29" s="1"/>
  <c r="D40" i="29"/>
  <c r="D41" i="29"/>
  <c r="D43" i="29"/>
  <c r="D35" i="29"/>
  <c r="M36" i="29"/>
  <c r="E35" i="29"/>
  <c r="G35" i="29" s="1"/>
  <c r="C49" i="29"/>
  <c r="F35" i="29"/>
  <c r="B47" i="29"/>
  <c r="D49" i="29"/>
  <c r="D42" i="29"/>
  <c r="AA45" i="28"/>
  <c r="AD45" i="28"/>
  <c r="AC45" i="28"/>
  <c r="AS34" i="28"/>
  <c r="AB45" i="28"/>
  <c r="AE45" i="28"/>
  <c r="AS33" i="28"/>
  <c r="AS17" i="28"/>
  <c r="AS36" i="28"/>
  <c r="K45" i="28"/>
  <c r="AS29" i="28"/>
  <c r="N45" i="28"/>
  <c r="AS21" i="28"/>
  <c r="AS7" i="28"/>
  <c r="P35" i="28"/>
  <c r="K31" i="27"/>
  <c r="AA31" i="27"/>
  <c r="AC32" i="27"/>
  <c r="AE33" i="27"/>
  <c r="AB34" i="27"/>
  <c r="AD35" i="27"/>
  <c r="L31" i="27"/>
  <c r="L32" i="27"/>
  <c r="AD32" i="27"/>
  <c r="K34" i="27"/>
  <c r="M35" i="27"/>
  <c r="AE35" i="27"/>
  <c r="Q31" i="27"/>
  <c r="M32" i="27"/>
  <c r="O33" i="27"/>
  <c r="L34" i="27"/>
  <c r="N35" i="27"/>
  <c r="R31" i="27"/>
  <c r="N32" i="27"/>
  <c r="P33" i="27"/>
  <c r="R34" i="27"/>
  <c r="O35" i="27"/>
  <c r="S31" i="27"/>
  <c r="T32" i="27"/>
  <c r="Q33" i="27"/>
  <c r="S34" i="27"/>
  <c r="U35" i="27"/>
  <c r="T31" i="27"/>
  <c r="U32" i="27"/>
  <c r="W33" i="27"/>
  <c r="T34" i="27"/>
  <c r="V35" i="27"/>
  <c r="Y31" i="27"/>
  <c r="V32" i="27"/>
  <c r="X33" i="27"/>
  <c r="Z34" i="27"/>
  <c r="AB35" i="27"/>
  <c r="T35" i="27"/>
  <c r="L35" i="27"/>
  <c r="Y34" i="27"/>
  <c r="Q34" i="27"/>
  <c r="AD33" i="27"/>
  <c r="V33" i="27"/>
  <c r="N33" i="27"/>
  <c r="AA32" i="27"/>
  <c r="S32" i="27"/>
  <c r="K32" i="27"/>
  <c r="X31" i="27"/>
  <c r="P31" i="27"/>
  <c r="AA35" i="27"/>
  <c r="S35" i="27"/>
  <c r="K35" i="27"/>
  <c r="X34" i="27"/>
  <c r="P34" i="27"/>
  <c r="AC33" i="27"/>
  <c r="U33" i="27"/>
  <c r="M33" i="27"/>
  <c r="Z32" i="27"/>
  <c r="R32" i="27"/>
  <c r="AE31" i="27"/>
  <c r="W31" i="27"/>
  <c r="O31" i="27"/>
  <c r="Z35" i="27"/>
  <c r="R35" i="27"/>
  <c r="AE34" i="27"/>
  <c r="W34" i="27"/>
  <c r="O34" i="27"/>
  <c r="AB33" i="27"/>
  <c r="T33" i="27"/>
  <c r="L33" i="27"/>
  <c r="Y32" i="27"/>
  <c r="Q32" i="27"/>
  <c r="AD31" i="27"/>
  <c r="V31" i="27"/>
  <c r="N31" i="27"/>
  <c r="Y35" i="27"/>
  <c r="Q35" i="27"/>
  <c r="AD34" i="27"/>
  <c r="V34" i="27"/>
  <c r="N34" i="27"/>
  <c r="AA33" i="27"/>
  <c r="S33" i="27"/>
  <c r="K33" i="27"/>
  <c r="X32" i="27"/>
  <c r="P32" i="27"/>
  <c r="AC31" i="27"/>
  <c r="U31" i="27"/>
  <c r="M31" i="27"/>
  <c r="X35" i="27"/>
  <c r="P35" i="27"/>
  <c r="AC34" i="27"/>
  <c r="U34" i="27"/>
  <c r="M34" i="27"/>
  <c r="Z33" i="27"/>
  <c r="R33" i="27"/>
  <c r="AE32" i="27"/>
  <c r="W32" i="27"/>
  <c r="O32" i="27"/>
  <c r="AB31" i="27"/>
  <c r="Z31" i="27"/>
  <c r="AB32" i="27"/>
  <c r="Y33" i="27"/>
  <c r="AA34" i="27"/>
  <c r="AC35" i="27"/>
  <c r="AS8" i="32" l="1"/>
  <c r="AA45" i="32"/>
  <c r="I12" i="28"/>
  <c r="I12" i="32"/>
  <c r="I14" i="28"/>
  <c r="I14" i="32"/>
  <c r="I11" i="28"/>
  <c r="I11" i="32"/>
  <c r="I13" i="28"/>
  <c r="I13" i="32"/>
  <c r="I15" i="28"/>
  <c r="I15" i="32"/>
  <c r="AK29" i="26"/>
  <c r="I45" i="28"/>
  <c r="H34" i="29"/>
  <c r="B46" i="29" s="1"/>
  <c r="B43" i="29" s="1"/>
  <c r="B45" i="29"/>
  <c r="C57" i="29"/>
  <c r="H35" i="29"/>
  <c r="C46" i="29" s="1"/>
  <c r="C40" i="29" s="1"/>
  <c r="C45" i="29"/>
  <c r="G37" i="29"/>
  <c r="B55" i="29"/>
  <c r="B56" i="29"/>
  <c r="AS35" i="28"/>
  <c r="AS32" i="28"/>
  <c r="P45" i="28"/>
  <c r="B31" i="27" a="1"/>
  <c r="D35" i="27" s="1"/>
  <c r="AJ31" i="25"/>
  <c r="AO31" i="25"/>
  <c r="AO45" i="25" s="1"/>
  <c r="AM45" i="25"/>
  <c r="AF45" i="25"/>
  <c r="U45" i="25"/>
  <c r="T45" i="25"/>
  <c r="S45" i="25"/>
  <c r="R45" i="25"/>
  <c r="AS42" i="25"/>
  <c r="Z41" i="25"/>
  <c r="AS41" i="25" s="1"/>
  <c r="AS40" i="25"/>
  <c r="Z40" i="25"/>
  <c r="Z39" i="25"/>
  <c r="AS39" i="25" s="1"/>
  <c r="Z38" i="25"/>
  <c r="AS38" i="25" s="1"/>
  <c r="Z37" i="25"/>
  <c r="AS37" i="25" s="1"/>
  <c r="AR36" i="25"/>
  <c r="AQ45" i="25"/>
  <c r="AP36" i="25"/>
  <c r="AE36" i="25"/>
  <c r="AD36" i="25"/>
  <c r="AC36" i="25"/>
  <c r="AB36" i="25"/>
  <c r="AA36" i="25"/>
  <c r="Q36" i="25"/>
  <c r="O36" i="25"/>
  <c r="N36" i="25"/>
  <c r="M36" i="25"/>
  <c r="L36" i="25"/>
  <c r="K36" i="25"/>
  <c r="AR35" i="25"/>
  <c r="AP35" i="25"/>
  <c r="AE35" i="25"/>
  <c r="AD35" i="25"/>
  <c r="AC35" i="25"/>
  <c r="AB35" i="25"/>
  <c r="AA35" i="25"/>
  <c r="Q35" i="25"/>
  <c r="O35" i="25"/>
  <c r="N35" i="25"/>
  <c r="M35" i="25"/>
  <c r="L35" i="25"/>
  <c r="K35" i="25"/>
  <c r="AR34" i="25"/>
  <c r="AP34" i="25"/>
  <c r="AE34" i="25"/>
  <c r="AD34" i="25"/>
  <c r="AC34" i="25"/>
  <c r="AB34" i="25"/>
  <c r="AA34" i="25"/>
  <c r="Q34" i="25"/>
  <c r="O34" i="25"/>
  <c r="N34" i="25"/>
  <c r="M34" i="25"/>
  <c r="L34" i="25"/>
  <c r="K34" i="25"/>
  <c r="AR33" i="25"/>
  <c r="AP33" i="25"/>
  <c r="AE33" i="25"/>
  <c r="AD33" i="25"/>
  <c r="AC33" i="25"/>
  <c r="AB33" i="25"/>
  <c r="AA33" i="25"/>
  <c r="Q33" i="25"/>
  <c r="Q45" i="25" s="1"/>
  <c r="O33" i="25"/>
  <c r="O45" i="25" s="1"/>
  <c r="N33" i="25"/>
  <c r="M33" i="25"/>
  <c r="L33" i="25"/>
  <c r="K33" i="25"/>
  <c r="AR32" i="25"/>
  <c r="AR45" i="25" s="1"/>
  <c r="AP32" i="25"/>
  <c r="AE32" i="25"/>
  <c r="AD32" i="25"/>
  <c r="AC32" i="25"/>
  <c r="AB32" i="25"/>
  <c r="AA32" i="25"/>
  <c r="Q32" i="25"/>
  <c r="O32" i="25"/>
  <c r="N32" i="25"/>
  <c r="M32" i="25"/>
  <c r="L32" i="25"/>
  <c r="K32" i="25"/>
  <c r="AS31" i="25"/>
  <c r="AN30" i="25"/>
  <c r="AS30" i="25" s="1"/>
  <c r="AI30" i="25"/>
  <c r="AM29" i="25"/>
  <c r="AS29" i="25" s="1"/>
  <c r="AH29" i="25"/>
  <c r="AL28" i="25"/>
  <c r="AL45" i="25" s="1"/>
  <c r="AG28" i="25"/>
  <c r="AS28" i="25" s="1"/>
  <c r="AS27" i="25"/>
  <c r="AK27" i="25"/>
  <c r="AK45" i="25" s="1"/>
  <c r="AF27" i="25"/>
  <c r="AP26" i="25"/>
  <c r="AJ26" i="25"/>
  <c r="AI26" i="25"/>
  <c r="AH26" i="25"/>
  <c r="AH45" i="25" s="1"/>
  <c r="AG26" i="25"/>
  <c r="AS26" i="25" s="1"/>
  <c r="AF26" i="25"/>
  <c r="AE25" i="25"/>
  <c r="AD25" i="25"/>
  <c r="AC25" i="25"/>
  <c r="AB25" i="25"/>
  <c r="AA25" i="25"/>
  <c r="AS25" i="25" s="1"/>
  <c r="Y17" i="25" s="1"/>
  <c r="Y45" i="25" s="1"/>
  <c r="AS24" i="25"/>
  <c r="X17" i="25" s="1"/>
  <c r="X45" i="25" s="1"/>
  <c r="AE24" i="25"/>
  <c r="AD24" i="25"/>
  <c r="AC24" i="25"/>
  <c r="AB24" i="25"/>
  <c r="AA24" i="25"/>
  <c r="AE23" i="25"/>
  <c r="AD23" i="25"/>
  <c r="AS23" i="25" s="1"/>
  <c r="W17" i="25" s="1"/>
  <c r="W45" i="25" s="1"/>
  <c r="AC23" i="25"/>
  <c r="AB23" i="25"/>
  <c r="AA23" i="25"/>
  <c r="AE22" i="25"/>
  <c r="AD22" i="25"/>
  <c r="AC22" i="25"/>
  <c r="AB22" i="25"/>
  <c r="AA22" i="25"/>
  <c r="AS22" i="25" s="1"/>
  <c r="V17" i="25" s="1"/>
  <c r="V45" i="25" s="1"/>
  <c r="AJ21" i="25"/>
  <c r="AI21" i="25"/>
  <c r="AI45" i="25" s="1"/>
  <c r="AG21" i="25"/>
  <c r="AF21" i="25"/>
  <c r="AS21" i="25" s="1"/>
  <c r="AE20" i="25"/>
  <c r="AS20" i="25" s="1"/>
  <c r="AD20" i="25"/>
  <c r="AC20" i="25"/>
  <c r="AB20" i="25"/>
  <c r="AA20" i="25"/>
  <c r="AS19" i="25"/>
  <c r="O18" i="25"/>
  <c r="N18" i="25"/>
  <c r="M18" i="25"/>
  <c r="L18" i="25"/>
  <c r="K18" i="25"/>
  <c r="K45" i="25" s="1"/>
  <c r="G17" i="25"/>
  <c r="AS17" i="25" s="1"/>
  <c r="J16" i="25"/>
  <c r="AS16" i="25" s="1"/>
  <c r="J15" i="25"/>
  <c r="I15" i="25"/>
  <c r="H15" i="25"/>
  <c r="AS15" i="25" s="1"/>
  <c r="G15" i="25"/>
  <c r="J14" i="25"/>
  <c r="I14" i="25"/>
  <c r="H14" i="25"/>
  <c r="G14" i="25"/>
  <c r="AS14" i="25" s="1"/>
  <c r="J13" i="25"/>
  <c r="AS13" i="25" s="1"/>
  <c r="I13" i="25"/>
  <c r="H13" i="25"/>
  <c r="G13" i="25"/>
  <c r="J12" i="25"/>
  <c r="J45" i="25" s="1"/>
  <c r="I12" i="25"/>
  <c r="I45" i="25" s="1"/>
  <c r="H12" i="25"/>
  <c r="H45" i="25" s="1"/>
  <c r="G12" i="25"/>
  <c r="G45" i="25" s="1"/>
  <c r="J11" i="25"/>
  <c r="I11" i="25"/>
  <c r="H11" i="25"/>
  <c r="G11" i="25"/>
  <c r="AS11" i="25" s="1"/>
  <c r="AE10" i="25"/>
  <c r="AD10" i="25"/>
  <c r="AS10" i="25" s="1"/>
  <c r="AC10" i="25"/>
  <c r="AB10" i="25"/>
  <c r="AA10" i="25"/>
  <c r="AE9" i="25"/>
  <c r="AD9" i="25"/>
  <c r="AC9" i="25"/>
  <c r="AB9" i="25"/>
  <c r="AA9" i="25"/>
  <c r="AS9" i="25" s="1"/>
  <c r="AE8" i="25"/>
  <c r="AD8" i="25"/>
  <c r="AC8" i="25"/>
  <c r="AB8" i="25"/>
  <c r="AB45" i="25" s="1"/>
  <c r="AA8" i="25"/>
  <c r="AS8" i="25" s="1"/>
  <c r="AS7" i="25"/>
  <c r="AE7" i="25"/>
  <c r="AD7" i="25"/>
  <c r="AD45" i="25" s="1"/>
  <c r="AC7" i="25"/>
  <c r="AC45" i="25" s="1"/>
  <c r="AB7" i="25"/>
  <c r="AA7" i="25"/>
  <c r="AA45" i="25" s="1"/>
  <c r="AP44" i="24"/>
  <c r="C52" i="29" l="1"/>
  <c r="C53" i="29"/>
  <c r="I45" i="32"/>
  <c r="B41" i="29"/>
  <c r="B42" i="29"/>
  <c r="B44" i="29"/>
  <c r="C44" i="29"/>
  <c r="C42" i="29"/>
  <c r="C43" i="29"/>
  <c r="C41" i="29"/>
  <c r="C55" i="29"/>
  <c r="C56" i="29"/>
  <c r="C54" i="29"/>
  <c r="D33" i="27"/>
  <c r="B35" i="27"/>
  <c r="D32" i="27"/>
  <c r="C31" i="27"/>
  <c r="F32" i="27"/>
  <c r="F36" i="27" s="1"/>
  <c r="B34" i="27"/>
  <c r="D34" i="27"/>
  <c r="B32" i="27"/>
  <c r="E35" i="27"/>
  <c r="C32" i="27"/>
  <c r="B33" i="27"/>
  <c r="G33" i="27" s="1"/>
  <c r="F34" i="27"/>
  <c r="F33" i="27"/>
  <c r="F35" i="27"/>
  <c r="C33" i="27"/>
  <c r="F31" i="27"/>
  <c r="D31" i="27"/>
  <c r="E33" i="27"/>
  <c r="E36" i="27" s="1"/>
  <c r="B31" i="27"/>
  <c r="G31" i="27" s="1"/>
  <c r="E34" i="27"/>
  <c r="C35" i="27"/>
  <c r="G35" i="27" s="1"/>
  <c r="E32" i="27"/>
  <c r="E31" i="27"/>
  <c r="C34" i="27"/>
  <c r="D36" i="27"/>
  <c r="B36" i="27"/>
  <c r="AJ45" i="25"/>
  <c r="M45" i="25"/>
  <c r="L45" i="25"/>
  <c r="N45" i="25"/>
  <c r="AP45" i="25"/>
  <c r="AP44" i="25"/>
  <c r="AS44" i="25" s="1"/>
  <c r="Z45" i="25"/>
  <c r="AS12" i="25"/>
  <c r="AE45" i="25"/>
  <c r="AN45" i="25"/>
  <c r="AS18" i="25"/>
  <c r="AG45" i="25"/>
  <c r="AQ36" i="24"/>
  <c r="AP35" i="24"/>
  <c r="AP34" i="24"/>
  <c r="AP33" i="24"/>
  <c r="AP32" i="24"/>
  <c r="AR36" i="24"/>
  <c r="AR35" i="24"/>
  <c r="AR34" i="24"/>
  <c r="AR33" i="24"/>
  <c r="AR32" i="24"/>
  <c r="F29" i="20"/>
  <c r="E29" i="20"/>
  <c r="D29" i="20"/>
  <c r="C29" i="20"/>
  <c r="B29" i="20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" i="20"/>
  <c r="H14" i="32" l="1"/>
  <c r="AS14" i="32" s="1"/>
  <c r="H14" i="28"/>
  <c r="AS14" i="28" s="1"/>
  <c r="H12" i="28"/>
  <c r="AS12" i="28" s="1"/>
  <c r="H12" i="32"/>
  <c r="H13" i="28"/>
  <c r="AS13" i="28" s="1"/>
  <c r="H13" i="32"/>
  <c r="AS13" i="32" s="1"/>
  <c r="H11" i="32"/>
  <c r="AS11" i="32" s="1"/>
  <c r="H11" i="28"/>
  <c r="H15" i="32"/>
  <c r="AS15" i="32" s="1"/>
  <c r="H15" i="28"/>
  <c r="AS15" i="28" s="1"/>
  <c r="C36" i="27"/>
  <c r="H36" i="27" s="1"/>
  <c r="G32" i="27"/>
  <c r="G36" i="27" s="1"/>
  <c r="G34" i="27"/>
  <c r="H12" i="23"/>
  <c r="H13" i="23"/>
  <c r="H14" i="23"/>
  <c r="H15" i="23"/>
  <c r="G14" i="23"/>
  <c r="G15" i="23"/>
  <c r="G13" i="23"/>
  <c r="G12" i="23"/>
  <c r="H11" i="23"/>
  <c r="I11" i="23"/>
  <c r="G11" i="23"/>
  <c r="C56" i="20"/>
  <c r="C55" i="20"/>
  <c r="C54" i="20"/>
  <c r="C53" i="20"/>
  <c r="B56" i="20"/>
  <c r="B55" i="20"/>
  <c r="B54" i="20"/>
  <c r="B53" i="20"/>
  <c r="C52" i="20"/>
  <c r="B52" i="20"/>
  <c r="C57" i="20"/>
  <c r="B57" i="20"/>
  <c r="E56" i="20"/>
  <c r="D56" i="20"/>
  <c r="E55" i="20"/>
  <c r="D55" i="20"/>
  <c r="E54" i="20"/>
  <c r="D54" i="20"/>
  <c r="E53" i="20"/>
  <c r="D53" i="20"/>
  <c r="E52" i="20"/>
  <c r="D52" i="20"/>
  <c r="J16" i="24"/>
  <c r="I16" i="24"/>
  <c r="AS16" i="24" s="1"/>
  <c r="C40" i="20"/>
  <c r="C46" i="20"/>
  <c r="C44" i="20" s="1"/>
  <c r="H15" i="24" s="1"/>
  <c r="B44" i="20"/>
  <c r="G15" i="24" s="1"/>
  <c r="B43" i="20"/>
  <c r="G14" i="24" s="1"/>
  <c r="B42" i="20"/>
  <c r="G13" i="24" s="1"/>
  <c r="B41" i="20"/>
  <c r="B40" i="20"/>
  <c r="G12" i="24"/>
  <c r="I12" i="24"/>
  <c r="I13" i="24"/>
  <c r="I14" i="24"/>
  <c r="I15" i="24"/>
  <c r="I11" i="24"/>
  <c r="D44" i="20"/>
  <c r="D43" i="20"/>
  <c r="D42" i="20"/>
  <c r="D41" i="20"/>
  <c r="D40" i="20"/>
  <c r="D46" i="20"/>
  <c r="B46" i="20"/>
  <c r="H35" i="20"/>
  <c r="H34" i="20"/>
  <c r="AB25" i="24"/>
  <c r="AC25" i="24"/>
  <c r="AS25" i="24" s="1"/>
  <c r="Y17" i="24" s="1"/>
  <c r="Y45" i="24" s="1"/>
  <c r="AD25" i="24"/>
  <c r="AE25" i="24"/>
  <c r="AA25" i="24"/>
  <c r="AB24" i="24"/>
  <c r="AC24" i="24"/>
  <c r="AD24" i="24"/>
  <c r="AE24" i="24"/>
  <c r="AA24" i="24"/>
  <c r="AS24" i="24" s="1"/>
  <c r="X17" i="24" s="1"/>
  <c r="X45" i="24" s="1"/>
  <c r="AB22" i="24"/>
  <c r="AC22" i="24"/>
  <c r="AD22" i="24"/>
  <c r="AE22" i="24"/>
  <c r="AB23" i="24"/>
  <c r="AC23" i="24"/>
  <c r="AD23" i="24"/>
  <c r="AE23" i="24"/>
  <c r="AA23" i="24"/>
  <c r="AA22" i="24"/>
  <c r="AA10" i="24"/>
  <c r="AB10" i="24"/>
  <c r="AC10" i="24"/>
  <c r="AD10" i="24"/>
  <c r="AE10" i="24"/>
  <c r="AB9" i="24"/>
  <c r="AC9" i="24"/>
  <c r="AD9" i="24"/>
  <c r="AE9" i="24"/>
  <c r="AA9" i="24"/>
  <c r="AB8" i="24"/>
  <c r="AC8" i="24"/>
  <c r="AD8" i="24"/>
  <c r="AE8" i="24"/>
  <c r="AA8" i="24"/>
  <c r="AB7" i="24"/>
  <c r="AC7" i="24"/>
  <c r="AD7" i="24"/>
  <c r="AE7" i="24"/>
  <c r="AA7" i="24"/>
  <c r="AR45" i="24"/>
  <c r="AM45" i="24"/>
  <c r="AK45" i="24"/>
  <c r="U45" i="24"/>
  <c r="T45" i="24"/>
  <c r="S45" i="24"/>
  <c r="R45" i="24"/>
  <c r="Q43" i="24"/>
  <c r="P43" i="24"/>
  <c r="AS43" i="24" s="1"/>
  <c r="Q42" i="24"/>
  <c r="P42" i="24"/>
  <c r="AS41" i="24"/>
  <c r="Z41" i="24"/>
  <c r="Z40" i="24"/>
  <c r="AS40" i="24" s="1"/>
  <c r="Z39" i="24"/>
  <c r="AS39" i="24" s="1"/>
  <c r="Z38" i="24"/>
  <c r="Z45" i="24" s="1"/>
  <c r="AS37" i="24"/>
  <c r="Z37" i="24"/>
  <c r="AQ45" i="24"/>
  <c r="AE36" i="24"/>
  <c r="AD36" i="24"/>
  <c r="AC36" i="24"/>
  <c r="AB36" i="24"/>
  <c r="AA36" i="24"/>
  <c r="Q36" i="24"/>
  <c r="O36" i="24"/>
  <c r="N36" i="24"/>
  <c r="M36" i="24"/>
  <c r="L36" i="24"/>
  <c r="K36" i="24"/>
  <c r="AE35" i="24"/>
  <c r="AD35" i="24"/>
  <c r="AC35" i="24"/>
  <c r="AB35" i="24"/>
  <c r="AA35" i="24"/>
  <c r="Q35" i="24"/>
  <c r="O35" i="24"/>
  <c r="N35" i="24"/>
  <c r="M35" i="24"/>
  <c r="L35" i="24"/>
  <c r="K35" i="24"/>
  <c r="AE34" i="24"/>
  <c r="AD34" i="24"/>
  <c r="AC34" i="24"/>
  <c r="AB34" i="24"/>
  <c r="AA34" i="24"/>
  <c r="Q34" i="24"/>
  <c r="O34" i="24"/>
  <c r="N34" i="24"/>
  <c r="M34" i="24"/>
  <c r="L34" i="24"/>
  <c r="K34" i="24"/>
  <c r="AE33" i="24"/>
  <c r="AD33" i="24"/>
  <c r="AC33" i="24"/>
  <c r="AB33" i="24"/>
  <c r="AA33" i="24"/>
  <c r="Q33" i="24"/>
  <c r="O33" i="24"/>
  <c r="N33" i="24"/>
  <c r="M33" i="24"/>
  <c r="L33" i="24"/>
  <c r="K33" i="24"/>
  <c r="AE32" i="24"/>
  <c r="AD32" i="24"/>
  <c r="AC32" i="24"/>
  <c r="AB32" i="24"/>
  <c r="AA32" i="24"/>
  <c r="Q32" i="24"/>
  <c r="Q45" i="24" s="1"/>
  <c r="O32" i="24"/>
  <c r="N32" i="24"/>
  <c r="M32" i="24"/>
  <c r="L32" i="24"/>
  <c r="K32" i="24"/>
  <c r="AO31" i="24"/>
  <c r="AO45" i="24" s="1"/>
  <c r="AJ31" i="24"/>
  <c r="AS31" i="24" s="1"/>
  <c r="AN30" i="24"/>
  <c r="AN45" i="24" s="1"/>
  <c r="AI30" i="24"/>
  <c r="AS30" i="24" s="1"/>
  <c r="AS29" i="24"/>
  <c r="AM29" i="24"/>
  <c r="AH29" i="24"/>
  <c r="AL28" i="24"/>
  <c r="AS28" i="24" s="1"/>
  <c r="AG28" i="24"/>
  <c r="AK27" i="24"/>
  <c r="AF27" i="24"/>
  <c r="AS27" i="24" s="1"/>
  <c r="AP26" i="24"/>
  <c r="AJ26" i="24"/>
  <c r="AI26" i="24"/>
  <c r="AH26" i="24"/>
  <c r="AH45" i="24" s="1"/>
  <c r="AG26" i="24"/>
  <c r="AS26" i="24" s="1"/>
  <c r="AF26" i="24"/>
  <c r="AS21" i="24"/>
  <c r="AJ21" i="24"/>
  <c r="AJ45" i="24" s="1"/>
  <c r="AI21" i="24"/>
  <c r="AI45" i="24" s="1"/>
  <c r="AG21" i="24"/>
  <c r="AG45" i="24" s="1"/>
  <c r="AF21" i="24"/>
  <c r="AF45" i="24" s="1"/>
  <c r="AE20" i="24"/>
  <c r="AD20" i="24"/>
  <c r="AC20" i="24"/>
  <c r="AB20" i="24"/>
  <c r="AA20" i="24"/>
  <c r="AS20" i="24" s="1"/>
  <c r="AS19" i="24"/>
  <c r="G17" i="24"/>
  <c r="J15" i="24"/>
  <c r="J14" i="24"/>
  <c r="J13" i="24"/>
  <c r="J12" i="24"/>
  <c r="J11" i="24"/>
  <c r="J45" i="24" s="1"/>
  <c r="Q42" i="23"/>
  <c r="P42" i="23"/>
  <c r="Q43" i="23"/>
  <c r="P43" i="23"/>
  <c r="AQ36" i="23"/>
  <c r="AP26" i="23"/>
  <c r="AP26" i="14"/>
  <c r="H45" i="28" l="1"/>
  <c r="AS11" i="28"/>
  <c r="G46" i="28" s="1" a="1"/>
  <c r="H45" i="32"/>
  <c r="AS12" i="32"/>
  <c r="G46" i="32" s="1" a="1"/>
  <c r="C41" i="20"/>
  <c r="H12" i="24" s="1"/>
  <c r="C42" i="20"/>
  <c r="H13" i="24" s="1"/>
  <c r="C43" i="20"/>
  <c r="H14" i="24" s="1"/>
  <c r="H11" i="24"/>
  <c r="AS22" i="24"/>
  <c r="V17" i="24" s="1"/>
  <c r="AS23" i="24"/>
  <c r="W17" i="24" s="1"/>
  <c r="W45" i="24" s="1"/>
  <c r="V45" i="24"/>
  <c r="AS17" i="24"/>
  <c r="AS38" i="24"/>
  <c r="AL45" i="24"/>
  <c r="M13" i="22"/>
  <c r="AR45" i="23"/>
  <c r="AQ45" i="23"/>
  <c r="AO45" i="23"/>
  <c r="AK45" i="23"/>
  <c r="AI45" i="23"/>
  <c r="AH45" i="23"/>
  <c r="AG45" i="23"/>
  <c r="Z45" i="23"/>
  <c r="U45" i="23"/>
  <c r="T45" i="23"/>
  <c r="S45" i="23"/>
  <c r="R45" i="23"/>
  <c r="AS44" i="23"/>
  <c r="AS43" i="23"/>
  <c r="Z41" i="23"/>
  <c r="AS41" i="23" s="1"/>
  <c r="AS40" i="23"/>
  <c r="Z40" i="23"/>
  <c r="Z39" i="23"/>
  <c r="AS39" i="23" s="1"/>
  <c r="Z38" i="23"/>
  <c r="AS38" i="23" s="1"/>
  <c r="Z37" i="23"/>
  <c r="AS37" i="23" s="1"/>
  <c r="AE36" i="23"/>
  <c r="AD36" i="23"/>
  <c r="AC36" i="23"/>
  <c r="AB36" i="23"/>
  <c r="AA36" i="23"/>
  <c r="Q36" i="23"/>
  <c r="P36" i="23"/>
  <c r="O36" i="23"/>
  <c r="N36" i="23"/>
  <c r="M36" i="23"/>
  <c r="L36" i="23"/>
  <c r="K36" i="23"/>
  <c r="AE35" i="23"/>
  <c r="AD35" i="23"/>
  <c r="AC35" i="23"/>
  <c r="AB35" i="23"/>
  <c r="AA35" i="23"/>
  <c r="Q35" i="23"/>
  <c r="P35" i="23" s="1"/>
  <c r="O35" i="23"/>
  <c r="N35" i="23"/>
  <c r="M35" i="23"/>
  <c r="L35" i="23"/>
  <c r="K35" i="23"/>
  <c r="AE34" i="23"/>
  <c r="AD34" i="23"/>
  <c r="AC34" i="23"/>
  <c r="AB34" i="23"/>
  <c r="AA34" i="23"/>
  <c r="Q34" i="23"/>
  <c r="Q45" i="23" s="1"/>
  <c r="O34" i="23"/>
  <c r="N34" i="23"/>
  <c r="M34" i="23"/>
  <c r="L34" i="23"/>
  <c r="K34" i="23"/>
  <c r="AE33" i="23"/>
  <c r="AD33" i="23"/>
  <c r="AC33" i="23"/>
  <c r="AB33" i="23"/>
  <c r="AA33" i="23"/>
  <c r="Q33" i="23"/>
  <c r="P33" i="23" s="1"/>
  <c r="O33" i="23"/>
  <c r="N33" i="23"/>
  <c r="M33" i="23"/>
  <c r="L33" i="23"/>
  <c r="K33" i="23"/>
  <c r="AE32" i="23"/>
  <c r="AD32" i="23"/>
  <c r="AC32" i="23"/>
  <c r="AB32" i="23"/>
  <c r="AA32" i="23"/>
  <c r="Q32" i="23"/>
  <c r="P32" i="23" s="1"/>
  <c r="O32" i="23"/>
  <c r="N32" i="23"/>
  <c r="M32" i="23"/>
  <c r="L32" i="23"/>
  <c r="K32" i="23"/>
  <c r="AS31" i="23"/>
  <c r="AO31" i="23"/>
  <c r="AJ31" i="23"/>
  <c r="AN30" i="23"/>
  <c r="AN45" i="23" s="1"/>
  <c r="AI30" i="23"/>
  <c r="AS30" i="23" s="1"/>
  <c r="AM29" i="23"/>
  <c r="AM45" i="23" s="1"/>
  <c r="AH29" i="23"/>
  <c r="AS29" i="23" s="1"/>
  <c r="AL28" i="23"/>
  <c r="AL45" i="23" s="1"/>
  <c r="AG28" i="23"/>
  <c r="AS28" i="23" s="1"/>
  <c r="AK27" i="23"/>
  <c r="AF27" i="23"/>
  <c r="AS27" i="23" s="1"/>
  <c r="AS26" i="23"/>
  <c r="AJ26" i="23"/>
  <c r="AI26" i="23"/>
  <c r="AH26" i="23"/>
  <c r="AG26" i="23"/>
  <c r="AF26" i="23"/>
  <c r="AS25" i="23"/>
  <c r="Y17" i="23" s="1"/>
  <c r="Y45" i="23" s="1"/>
  <c r="AS21" i="23"/>
  <c r="AJ21" i="23"/>
  <c r="AJ45" i="23" s="1"/>
  <c r="AI21" i="23"/>
  <c r="AG21" i="23"/>
  <c r="AF21" i="23"/>
  <c r="AF45" i="23" s="1"/>
  <c r="AE20" i="23"/>
  <c r="AD20" i="23"/>
  <c r="AC20" i="23"/>
  <c r="AB20" i="23"/>
  <c r="AA20" i="23"/>
  <c r="AS19" i="23"/>
  <c r="G17" i="23"/>
  <c r="AS16" i="23"/>
  <c r="J15" i="23"/>
  <c r="J14" i="23"/>
  <c r="J45" i="23" s="1"/>
  <c r="J13" i="23"/>
  <c r="J12" i="23"/>
  <c r="J11" i="23"/>
  <c r="AE10" i="23"/>
  <c r="AS10" i="23" s="1"/>
  <c r="AB8" i="23"/>
  <c r="Q36" i="14"/>
  <c r="Q32" i="14"/>
  <c r="Q33" i="14"/>
  <c r="P33" i="14" s="1"/>
  <c r="AG26" i="14"/>
  <c r="AH26" i="14"/>
  <c r="AI26" i="14"/>
  <c r="AJ26" i="14"/>
  <c r="AF26" i="14"/>
  <c r="AA20" i="14"/>
  <c r="AB20" i="14"/>
  <c r="AC20" i="14"/>
  <c r="AD20" i="14"/>
  <c r="AE20" i="14"/>
  <c r="AG21" i="14"/>
  <c r="AI21" i="14"/>
  <c r="AJ21" i="14"/>
  <c r="AF21" i="14"/>
  <c r="Q12" i="22"/>
  <c r="Q13" i="22"/>
  <c r="P12" i="22"/>
  <c r="O12" i="22"/>
  <c r="N12" i="22"/>
  <c r="M12" i="22"/>
  <c r="L12" i="22"/>
  <c r="M16" i="22"/>
  <c r="N16" i="22"/>
  <c r="O16" i="22"/>
  <c r="P16" i="22"/>
  <c r="Q16" i="22"/>
  <c r="R16" i="22"/>
  <c r="O34" i="22" s="1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L16" i="22"/>
  <c r="Z41" i="14"/>
  <c r="Z40" i="14"/>
  <c r="M32" i="22"/>
  <c r="N33" i="22"/>
  <c r="N42" i="22" s="1"/>
  <c r="AH29" i="14" s="1"/>
  <c r="AS29" i="14" s="1"/>
  <c r="L31" i="22"/>
  <c r="Z39" i="14"/>
  <c r="Z38" i="14"/>
  <c r="AS39" i="14"/>
  <c r="Z37" i="14"/>
  <c r="L16" i="16"/>
  <c r="AO31" i="14"/>
  <c r="AN30" i="14"/>
  <c r="AM29" i="14"/>
  <c r="AL28" i="14"/>
  <c r="AK27" i="14"/>
  <c r="F35" i="22"/>
  <c r="E34" i="22"/>
  <c r="D33" i="22"/>
  <c r="C32" i="22"/>
  <c r="B31" i="22"/>
  <c r="P13" i="22"/>
  <c r="O13" i="22"/>
  <c r="N13" i="22"/>
  <c r="L13" i="22"/>
  <c r="P11" i="22"/>
  <c r="O11" i="22"/>
  <c r="N11" i="22"/>
  <c r="M11" i="22"/>
  <c r="L11" i="22"/>
  <c r="Q43" i="14"/>
  <c r="Q42" i="14"/>
  <c r="Q35" i="14"/>
  <c r="Q34" i="14"/>
  <c r="K33" i="14"/>
  <c r="L33" i="14"/>
  <c r="M33" i="14"/>
  <c r="N33" i="14"/>
  <c r="O33" i="14"/>
  <c r="K34" i="14"/>
  <c r="L34" i="14"/>
  <c r="M34" i="14"/>
  <c r="N34" i="14"/>
  <c r="O34" i="14"/>
  <c r="K35" i="14"/>
  <c r="L35" i="14"/>
  <c r="M35" i="14"/>
  <c r="N35" i="14"/>
  <c r="O35" i="14"/>
  <c r="K36" i="14"/>
  <c r="L36" i="14"/>
  <c r="M36" i="14"/>
  <c r="N36" i="14"/>
  <c r="O36" i="14"/>
  <c r="L32" i="14"/>
  <c r="M32" i="14"/>
  <c r="N32" i="14"/>
  <c r="O32" i="14"/>
  <c r="K32" i="14"/>
  <c r="G27" i="21"/>
  <c r="B27" i="21" s="1"/>
  <c r="O40" i="21"/>
  <c r="N40" i="21"/>
  <c r="P40" i="21" s="1"/>
  <c r="Q38" i="21" s="1"/>
  <c r="L40" i="21"/>
  <c r="P39" i="21"/>
  <c r="M39" i="21"/>
  <c r="P38" i="21"/>
  <c r="M38" i="21"/>
  <c r="P37" i="21"/>
  <c r="M37" i="21"/>
  <c r="P36" i="21"/>
  <c r="Q36" i="21" s="1"/>
  <c r="M36" i="21"/>
  <c r="P35" i="21"/>
  <c r="M35" i="21"/>
  <c r="I30" i="21"/>
  <c r="G30" i="21"/>
  <c r="D30" i="21" s="1"/>
  <c r="F30" i="21"/>
  <c r="I29" i="21"/>
  <c r="G29" i="21"/>
  <c r="C29" i="21" s="1"/>
  <c r="E29" i="21"/>
  <c r="I28" i="21"/>
  <c r="G28" i="21"/>
  <c r="B28" i="21" s="1"/>
  <c r="D28" i="21"/>
  <c r="I27" i="21"/>
  <c r="E27" i="21"/>
  <c r="D27" i="21"/>
  <c r="I26" i="21"/>
  <c r="G26" i="21"/>
  <c r="E26" i="21" s="1"/>
  <c r="D26" i="21"/>
  <c r="C26" i="21"/>
  <c r="L23" i="21"/>
  <c r="G49" i="20"/>
  <c r="AB9" i="14"/>
  <c r="AB24" i="14" s="1"/>
  <c r="AC9" i="14"/>
  <c r="AC24" i="14"/>
  <c r="G47" i="20"/>
  <c r="F27" i="20"/>
  <c r="AS10" i="24" s="1"/>
  <c r="C26" i="20"/>
  <c r="C31" i="20"/>
  <c r="C34" i="20" s="1"/>
  <c r="AB45" i="24" s="1"/>
  <c r="O40" i="20"/>
  <c r="N40" i="20"/>
  <c r="P40" i="20" s="1"/>
  <c r="Q39" i="20" s="1"/>
  <c r="L40" i="20"/>
  <c r="M39" i="20" s="1"/>
  <c r="P39" i="20"/>
  <c r="P38" i="20"/>
  <c r="M38" i="20"/>
  <c r="P37" i="20"/>
  <c r="M37" i="20"/>
  <c r="P36" i="20"/>
  <c r="M36" i="20"/>
  <c r="P35" i="20"/>
  <c r="Q35" i="20" s="1"/>
  <c r="C35" i="20"/>
  <c r="F31" i="20"/>
  <c r="F34" i="20" s="1"/>
  <c r="E31" i="20"/>
  <c r="E34" i="20" s="1"/>
  <c r="D31" i="20"/>
  <c r="D35" i="20" s="1"/>
  <c r="B31" i="20"/>
  <c r="B34" i="20" s="1"/>
  <c r="F28" i="20"/>
  <c r="E28" i="20"/>
  <c r="D28" i="20"/>
  <c r="C28" i="20"/>
  <c r="B28" i="20"/>
  <c r="G27" i="20"/>
  <c r="E26" i="20"/>
  <c r="D26" i="20"/>
  <c r="B26" i="20"/>
  <c r="AA9" i="23" s="1"/>
  <c r="AS24" i="23" s="1"/>
  <c r="X17" i="23" s="1"/>
  <c r="X45" i="23" s="1"/>
  <c r="AG3" i="20"/>
  <c r="AG2" i="20"/>
  <c r="AA33" i="14"/>
  <c r="AB33" i="14"/>
  <c r="AC33" i="14"/>
  <c r="AD33" i="14"/>
  <c r="AE33" i="14"/>
  <c r="AA34" i="14"/>
  <c r="AB34" i="14"/>
  <c r="AC34" i="14"/>
  <c r="AD34" i="14"/>
  <c r="AE34" i="14"/>
  <c r="AA35" i="14"/>
  <c r="AB35" i="14"/>
  <c r="AC35" i="14"/>
  <c r="AD35" i="14"/>
  <c r="AE35" i="14"/>
  <c r="AA36" i="14"/>
  <c r="AB36" i="14"/>
  <c r="AC36" i="14"/>
  <c r="AD36" i="14"/>
  <c r="AE36" i="14"/>
  <c r="AB32" i="14"/>
  <c r="AC32" i="14"/>
  <c r="AD32" i="14"/>
  <c r="AE32" i="14"/>
  <c r="AA32" i="14"/>
  <c r="K31" i="18" a="1"/>
  <c r="Z35" i="18" s="1"/>
  <c r="AQ45" i="14"/>
  <c r="E28" i="13"/>
  <c r="G28" i="13"/>
  <c r="F28" i="13"/>
  <c r="D28" i="13"/>
  <c r="C28" i="13"/>
  <c r="B28" i="13"/>
  <c r="AS43" i="14"/>
  <c r="AO45" i="14"/>
  <c r="AS41" i="14"/>
  <c r="G35" i="16"/>
  <c r="G34" i="16"/>
  <c r="G33" i="16"/>
  <c r="G32" i="16"/>
  <c r="G31" i="16"/>
  <c r="G36" i="16"/>
  <c r="P44" i="16"/>
  <c r="O43" i="16"/>
  <c r="N42" i="16"/>
  <c r="M41" i="16"/>
  <c r="L31" i="16"/>
  <c r="L40" i="16" s="1"/>
  <c r="P35" i="16"/>
  <c r="O34" i="16"/>
  <c r="N33" i="16"/>
  <c r="M32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F35" i="16"/>
  <c r="E34" i="16"/>
  <c r="D33" i="16"/>
  <c r="C32" i="16"/>
  <c r="B31" i="16"/>
  <c r="Q13" i="16"/>
  <c r="P13" i="16"/>
  <c r="O13" i="16"/>
  <c r="N13" i="16"/>
  <c r="L13" i="16"/>
  <c r="P12" i="16"/>
  <c r="O12" i="16"/>
  <c r="N12" i="16"/>
  <c r="M12" i="16"/>
  <c r="L12" i="16"/>
  <c r="Q11" i="16"/>
  <c r="P11" i="16"/>
  <c r="O11" i="16"/>
  <c r="N11" i="16"/>
  <c r="M11" i="16"/>
  <c r="L11" i="16"/>
  <c r="U45" i="14"/>
  <c r="P36" i="14"/>
  <c r="P32" i="14"/>
  <c r="P34" i="14"/>
  <c r="P35" i="14"/>
  <c r="I30" i="15"/>
  <c r="I29" i="15"/>
  <c r="I28" i="15"/>
  <c r="I27" i="15"/>
  <c r="I26" i="15"/>
  <c r="F49" i="13"/>
  <c r="E49" i="13"/>
  <c r="D49" i="13"/>
  <c r="C49" i="13"/>
  <c r="B49" i="13"/>
  <c r="F47" i="13"/>
  <c r="E47" i="13"/>
  <c r="D47" i="13"/>
  <c r="C47" i="13"/>
  <c r="B47" i="13"/>
  <c r="G17" i="14"/>
  <c r="AR45" i="14"/>
  <c r="AN45" i="14"/>
  <c r="AM45" i="14"/>
  <c r="AL45" i="14"/>
  <c r="AK45" i="14"/>
  <c r="AS44" i="14"/>
  <c r="AS40" i="14"/>
  <c r="AS38" i="14"/>
  <c r="AS37" i="14"/>
  <c r="AS19" i="14"/>
  <c r="S45" i="14" s="1"/>
  <c r="AS16" i="14"/>
  <c r="AQ46" i="32" l="1"/>
  <c r="K46" i="32"/>
  <c r="N46" i="32"/>
  <c r="AF46" i="32"/>
  <c r="AF50" i="32" s="1"/>
  <c r="AL46" i="32"/>
  <c r="AB46" i="32"/>
  <c r="AI46" i="32"/>
  <c r="AI50" i="32" s="1"/>
  <c r="R46" i="32"/>
  <c r="T46" i="32"/>
  <c r="AE46" i="32"/>
  <c r="I46" i="32"/>
  <c r="AJ46" i="32"/>
  <c r="AJ50" i="32" s="1"/>
  <c r="Q46" i="32"/>
  <c r="AD46" i="32"/>
  <c r="AA46" i="32"/>
  <c r="X46" i="32"/>
  <c r="L46" i="32"/>
  <c r="P46" i="32"/>
  <c r="W46" i="32"/>
  <c r="AG46" i="32"/>
  <c r="AG50" i="32" s="1"/>
  <c r="AK46" i="32"/>
  <c r="AR46" i="32"/>
  <c r="Z46" i="32"/>
  <c r="AC46" i="32"/>
  <c r="O46" i="32"/>
  <c r="V46" i="32"/>
  <c r="H46" i="32"/>
  <c r="AH46" i="32"/>
  <c r="AH50" i="32" s="1"/>
  <c r="S46" i="32"/>
  <c r="AN46" i="32"/>
  <c r="U46" i="32"/>
  <c r="AO46" i="32"/>
  <c r="M46" i="32"/>
  <c r="Y46" i="32"/>
  <c r="AP46" i="32"/>
  <c r="G46" i="32"/>
  <c r="AM46" i="32"/>
  <c r="J46" i="32"/>
  <c r="AQ46" i="28"/>
  <c r="T46" i="28"/>
  <c r="AM46" i="28"/>
  <c r="G46" i="28"/>
  <c r="AO46" i="28"/>
  <c r="N46" i="28"/>
  <c r="W46" i="28"/>
  <c r="X46" i="28"/>
  <c r="Q46" i="28"/>
  <c r="M46" i="28"/>
  <c r="AR46" i="28"/>
  <c r="P46" i="28"/>
  <c r="V46" i="28"/>
  <c r="AJ46" i="28"/>
  <c r="AJ50" i="28" s="1"/>
  <c r="AD46" i="28"/>
  <c r="I46" i="28"/>
  <c r="H46" i="28"/>
  <c r="AI46" i="28"/>
  <c r="AI50" i="28" s="1"/>
  <c r="AP46" i="28"/>
  <c r="AE46" i="28"/>
  <c r="K46" i="28"/>
  <c r="AA46" i="28"/>
  <c r="AK46" i="28"/>
  <c r="AC46" i="28"/>
  <c r="Y46" i="28"/>
  <c r="Z46" i="28"/>
  <c r="AL46" i="28"/>
  <c r="R46" i="28"/>
  <c r="AG46" i="28"/>
  <c r="AG50" i="28" s="1"/>
  <c r="AH46" i="28"/>
  <c r="AH50" i="28" s="1"/>
  <c r="S46" i="28"/>
  <c r="J46" i="28"/>
  <c r="AF46" i="28"/>
  <c r="AF50" i="28" s="1"/>
  <c r="U46" i="28"/>
  <c r="O46" i="28"/>
  <c r="AN46" i="28"/>
  <c r="L46" i="28"/>
  <c r="AB46" i="28"/>
  <c r="I11" i="14"/>
  <c r="AP32" i="23"/>
  <c r="Q37" i="20"/>
  <c r="E42" i="20" s="1"/>
  <c r="AE10" i="14"/>
  <c r="AC8" i="23"/>
  <c r="AA7" i="14"/>
  <c r="AA22" i="14" s="1"/>
  <c r="AC8" i="14"/>
  <c r="AC23" i="14" s="1"/>
  <c r="AA7" i="23"/>
  <c r="AP33" i="23"/>
  <c r="AS33" i="23" s="1"/>
  <c r="AP34" i="23"/>
  <c r="M35" i="20"/>
  <c r="Q38" i="20"/>
  <c r="AE7" i="14"/>
  <c r="AE22" i="14" s="1"/>
  <c r="AB8" i="14"/>
  <c r="AB23" i="14" s="1"/>
  <c r="AB7" i="23"/>
  <c r="AP35" i="23"/>
  <c r="AD7" i="14"/>
  <c r="AD22" i="14" s="1"/>
  <c r="D49" i="20"/>
  <c r="G26" i="20"/>
  <c r="G28" i="20" s="1"/>
  <c r="AS9" i="24"/>
  <c r="AP36" i="23"/>
  <c r="AS36" i="23" s="1"/>
  <c r="AP36" i="24"/>
  <c r="AA9" i="14"/>
  <c r="AA24" i="14" s="1"/>
  <c r="AD7" i="23"/>
  <c r="AB9" i="23"/>
  <c r="AD9" i="23"/>
  <c r="AB7" i="14"/>
  <c r="AB22" i="14" s="1"/>
  <c r="AD9" i="14"/>
  <c r="AD24" i="14" s="1"/>
  <c r="AE7" i="23"/>
  <c r="AC9" i="23"/>
  <c r="AS9" i="23" s="1"/>
  <c r="AS20" i="23"/>
  <c r="AS32" i="23"/>
  <c r="AS34" i="23"/>
  <c r="AS35" i="23"/>
  <c r="AB45" i="23"/>
  <c r="P34" i="23"/>
  <c r="P45" i="23" s="1"/>
  <c r="P35" i="22"/>
  <c r="P44" i="22" s="1"/>
  <c r="AJ31" i="14" s="1"/>
  <c r="AS31" i="14" s="1"/>
  <c r="Z45" i="14"/>
  <c r="L40" i="22"/>
  <c r="AF27" i="14" s="1"/>
  <c r="AS27" i="14" s="1"/>
  <c r="M41" i="22"/>
  <c r="AG28" i="14" s="1"/>
  <c r="AS28" i="14" s="1"/>
  <c r="O43" i="22"/>
  <c r="AI30" i="14" s="1"/>
  <c r="AS30" i="14" s="1"/>
  <c r="G36" i="22"/>
  <c r="Q11" i="22"/>
  <c r="F26" i="21"/>
  <c r="C30" i="21"/>
  <c r="E30" i="21"/>
  <c r="Q37" i="21"/>
  <c r="Q35" i="21"/>
  <c r="Q39" i="21"/>
  <c r="C28" i="21"/>
  <c r="D29" i="21"/>
  <c r="B26" i="21"/>
  <c r="C27" i="21"/>
  <c r="E28" i="21"/>
  <c r="F29" i="21"/>
  <c r="F28" i="21"/>
  <c r="G31" i="21"/>
  <c r="F27" i="21"/>
  <c r="B30" i="21"/>
  <c r="B29" i="21"/>
  <c r="F49" i="20"/>
  <c r="D34" i="20"/>
  <c r="B35" i="20"/>
  <c r="D47" i="20"/>
  <c r="E44" i="20"/>
  <c r="F47" i="20"/>
  <c r="E40" i="20"/>
  <c r="E35" i="20"/>
  <c r="Q36" i="20"/>
  <c r="B49" i="20"/>
  <c r="F35" i="20"/>
  <c r="C49" i="20"/>
  <c r="B47" i="20"/>
  <c r="E49" i="20"/>
  <c r="AS24" i="14"/>
  <c r="X17" i="14" s="1"/>
  <c r="X45" i="14" s="1"/>
  <c r="K32" i="18"/>
  <c r="O31" i="18"/>
  <c r="W31" i="18"/>
  <c r="AE31" i="18"/>
  <c r="R32" i="18"/>
  <c r="Z32" i="18"/>
  <c r="M33" i="18"/>
  <c r="U33" i="18"/>
  <c r="AC33" i="18"/>
  <c r="P34" i="18"/>
  <c r="X34" i="18"/>
  <c r="K35" i="18"/>
  <c r="S35" i="18"/>
  <c r="AA35" i="18"/>
  <c r="P31" i="18"/>
  <c r="X31" i="18"/>
  <c r="S32" i="18"/>
  <c r="V33" i="18"/>
  <c r="Y34" i="18"/>
  <c r="L35" i="18"/>
  <c r="T35" i="18"/>
  <c r="AB35" i="18"/>
  <c r="Q31" i="18"/>
  <c r="Y31" i="18"/>
  <c r="L32" i="18"/>
  <c r="T32" i="18"/>
  <c r="AB32" i="18"/>
  <c r="O33" i="18"/>
  <c r="W33" i="18"/>
  <c r="AE33" i="18"/>
  <c r="R34" i="18"/>
  <c r="Z34" i="18"/>
  <c r="M35" i="18"/>
  <c r="U35" i="18"/>
  <c r="AC35" i="18"/>
  <c r="R31" i="18"/>
  <c r="Z31" i="18"/>
  <c r="M32" i="18"/>
  <c r="U32" i="18"/>
  <c r="AC32" i="18"/>
  <c r="P33" i="18"/>
  <c r="X33" i="18"/>
  <c r="K34" i="18"/>
  <c r="S34" i="18"/>
  <c r="AA34" i="18"/>
  <c r="N35" i="18"/>
  <c r="V35" i="18"/>
  <c r="AD35" i="18"/>
  <c r="AD33" i="18"/>
  <c r="K31" i="18"/>
  <c r="S31" i="18"/>
  <c r="AA31" i="18"/>
  <c r="N32" i="18"/>
  <c r="V32" i="18"/>
  <c r="AD32" i="18"/>
  <c r="Q33" i="18"/>
  <c r="Y33" i="18"/>
  <c r="L34" i="18"/>
  <c r="T34" i="18"/>
  <c r="AB34" i="18"/>
  <c r="O35" i="18"/>
  <c r="W35" i="18"/>
  <c r="AE35" i="18"/>
  <c r="N33" i="18"/>
  <c r="L31" i="18"/>
  <c r="T31" i="18"/>
  <c r="AB31" i="18"/>
  <c r="O32" i="18"/>
  <c r="W32" i="18"/>
  <c r="AE32" i="18"/>
  <c r="R33" i="18"/>
  <c r="Z33" i="18"/>
  <c r="M34" i="18"/>
  <c r="U34" i="18"/>
  <c r="AC34" i="18"/>
  <c r="P35" i="18"/>
  <c r="X35" i="18"/>
  <c r="AA32" i="18"/>
  <c r="M31" i="18"/>
  <c r="U31" i="18"/>
  <c r="AC31" i="18"/>
  <c r="P32" i="18"/>
  <c r="X32" i="18"/>
  <c r="K33" i="18"/>
  <c r="S33" i="18"/>
  <c r="AA33" i="18"/>
  <c r="N34" i="18"/>
  <c r="V34" i="18"/>
  <c r="AD34" i="18"/>
  <c r="Q35" i="18"/>
  <c r="Y35" i="18"/>
  <c r="Q34" i="18"/>
  <c r="N31" i="18"/>
  <c r="V31" i="18"/>
  <c r="AD31" i="18"/>
  <c r="Q32" i="18"/>
  <c r="Y32" i="18"/>
  <c r="L33" i="18"/>
  <c r="T33" i="18"/>
  <c r="AB33" i="18"/>
  <c r="O34" i="18"/>
  <c r="W34" i="18"/>
  <c r="AE34" i="18"/>
  <c r="R35" i="18"/>
  <c r="AS21" i="14"/>
  <c r="AS20" i="14"/>
  <c r="T45" i="14" s="1"/>
  <c r="AH45" i="14"/>
  <c r="Q45" i="14"/>
  <c r="AS9" i="14"/>
  <c r="P45" i="14"/>
  <c r="AG45" i="14"/>
  <c r="AP45" i="14"/>
  <c r="AS26" i="14"/>
  <c r="I14" i="14" l="1"/>
  <c r="I14" i="23"/>
  <c r="M42" i="24"/>
  <c r="M42" i="14"/>
  <c r="M42" i="23"/>
  <c r="K42" i="24"/>
  <c r="K42" i="14"/>
  <c r="K42" i="23"/>
  <c r="E47" i="20"/>
  <c r="AP45" i="24"/>
  <c r="G35" i="20"/>
  <c r="C45" i="20" s="1"/>
  <c r="AD45" i="24"/>
  <c r="AD8" i="23"/>
  <c r="AD45" i="23" s="1"/>
  <c r="AD8" i="14"/>
  <c r="AD23" i="14" s="1"/>
  <c r="E43" i="20"/>
  <c r="AP45" i="23"/>
  <c r="G34" i="20"/>
  <c r="B45" i="20" s="1"/>
  <c r="AC7" i="14"/>
  <c r="AC22" i="14" s="1"/>
  <c r="AS22" i="14" s="1"/>
  <c r="V17" i="14" s="1"/>
  <c r="V45" i="14" s="1"/>
  <c r="AC7" i="23"/>
  <c r="O18" i="24"/>
  <c r="O45" i="24" s="1"/>
  <c r="O18" i="14"/>
  <c r="O18" i="23"/>
  <c r="L18" i="24"/>
  <c r="L18" i="14"/>
  <c r="L18" i="23"/>
  <c r="AE45" i="24"/>
  <c r="AE8" i="14"/>
  <c r="AE23" i="14" s="1"/>
  <c r="AE8" i="23"/>
  <c r="AE45" i="23" s="1"/>
  <c r="K18" i="24"/>
  <c r="K18" i="14"/>
  <c r="K18" i="23"/>
  <c r="O42" i="24"/>
  <c r="O42" i="23"/>
  <c r="O42" i="14"/>
  <c r="M18" i="24"/>
  <c r="M18" i="23"/>
  <c r="M45" i="23" s="1"/>
  <c r="M18" i="14"/>
  <c r="I13" i="23"/>
  <c r="I13" i="14"/>
  <c r="N18" i="24"/>
  <c r="N18" i="14"/>
  <c r="N18" i="23"/>
  <c r="I15" i="23"/>
  <c r="I15" i="14"/>
  <c r="AA8" i="23"/>
  <c r="AA8" i="14"/>
  <c r="AE25" i="14"/>
  <c r="AS25" i="14" s="1"/>
  <c r="Y17" i="14" s="1"/>
  <c r="Y45" i="14" s="1"/>
  <c r="AS10" i="14"/>
  <c r="AS22" i="23"/>
  <c r="V17" i="23" s="1"/>
  <c r="AJ45" i="14"/>
  <c r="AF45" i="14"/>
  <c r="AI45" i="14"/>
  <c r="G34" i="22"/>
  <c r="G35" i="22"/>
  <c r="G33" i="22"/>
  <c r="G32" i="22"/>
  <c r="G31" i="22"/>
  <c r="G37" i="20"/>
  <c r="C47" i="20"/>
  <c r="E41" i="20"/>
  <c r="B31" i="18" a="1"/>
  <c r="AA23" i="14" l="1"/>
  <c r="AS23" i="14" s="1"/>
  <c r="W17" i="14" s="1"/>
  <c r="W45" i="14" s="1"/>
  <c r="AS8" i="14"/>
  <c r="N45" i="24"/>
  <c r="M45" i="24"/>
  <c r="AS23" i="23"/>
  <c r="W17" i="23" s="1"/>
  <c r="W45" i="23" s="1"/>
  <c r="AS8" i="23"/>
  <c r="AA45" i="23"/>
  <c r="AS7" i="14"/>
  <c r="AS7" i="23"/>
  <c r="AC45" i="23"/>
  <c r="AC45" i="24"/>
  <c r="AS7" i="24"/>
  <c r="L45" i="14"/>
  <c r="I45" i="24"/>
  <c r="I12" i="14"/>
  <c r="I12" i="23"/>
  <c r="AS18" i="23"/>
  <c r="K45" i="23"/>
  <c r="O45" i="23"/>
  <c r="N42" i="24"/>
  <c r="N42" i="14"/>
  <c r="N45" i="14" s="1"/>
  <c r="N42" i="23"/>
  <c r="AS8" i="24"/>
  <c r="AA45" i="24"/>
  <c r="AS18" i="14"/>
  <c r="R45" i="14" s="1"/>
  <c r="K45" i="14"/>
  <c r="L42" i="24"/>
  <c r="L45" i="24" s="1"/>
  <c r="L42" i="14"/>
  <c r="AS42" i="14" s="1"/>
  <c r="L42" i="23"/>
  <c r="AS42" i="23" s="1"/>
  <c r="N45" i="23"/>
  <c r="AS18" i="24"/>
  <c r="K45" i="24"/>
  <c r="O45" i="14"/>
  <c r="V45" i="23"/>
  <c r="AS17" i="23"/>
  <c r="D35" i="18"/>
  <c r="F33" i="18"/>
  <c r="C32" i="18"/>
  <c r="C35" i="18"/>
  <c r="E33" i="18"/>
  <c r="B32" i="18"/>
  <c r="G32" i="18" s="1"/>
  <c r="D31" i="18"/>
  <c r="D36" i="18" s="1"/>
  <c r="B35" i="18"/>
  <c r="G35" i="18" s="1"/>
  <c r="D33" i="18"/>
  <c r="F31" i="18"/>
  <c r="F36" i="18" s="1"/>
  <c r="B33" i="18"/>
  <c r="G33" i="18" s="1"/>
  <c r="F34" i="18"/>
  <c r="C33" i="18"/>
  <c r="E31" i="18"/>
  <c r="E36" i="18" s="1"/>
  <c r="E34" i="18"/>
  <c r="B31" i="18"/>
  <c r="D34" i="18"/>
  <c r="F32" i="18"/>
  <c r="C31" i="18"/>
  <c r="C36" i="18" s="1"/>
  <c r="F35" i="18"/>
  <c r="C34" i="18"/>
  <c r="E32" i="18"/>
  <c r="E35" i="18"/>
  <c r="B34" i="18"/>
  <c r="G34" i="18" s="1"/>
  <c r="D32" i="18"/>
  <c r="M45" i="14"/>
  <c r="L23" i="15"/>
  <c r="F27" i="15"/>
  <c r="C29" i="15"/>
  <c r="B29" i="15"/>
  <c r="B27" i="15"/>
  <c r="G30" i="15"/>
  <c r="F30" i="15" s="1"/>
  <c r="G29" i="15"/>
  <c r="F29" i="15" s="1"/>
  <c r="G28" i="15"/>
  <c r="G31" i="15" s="1"/>
  <c r="G26" i="15"/>
  <c r="C26" i="15" s="1"/>
  <c r="O40" i="15"/>
  <c r="N40" i="15"/>
  <c r="L40" i="15"/>
  <c r="M36" i="15" s="1"/>
  <c r="C27" i="15" s="1"/>
  <c r="P39" i="15"/>
  <c r="M39" i="15"/>
  <c r="P38" i="15"/>
  <c r="M38" i="15"/>
  <c r="E27" i="15" s="1"/>
  <c r="P37" i="15"/>
  <c r="M37" i="15"/>
  <c r="D26" i="15" s="1"/>
  <c r="P36" i="15"/>
  <c r="P35" i="15"/>
  <c r="M35" i="15"/>
  <c r="AG3" i="13"/>
  <c r="AG2" i="13"/>
  <c r="G27" i="13"/>
  <c r="E26" i="13"/>
  <c r="D26" i="13"/>
  <c r="B26" i="13"/>
  <c r="G26" i="13" s="1"/>
  <c r="B43" i="13"/>
  <c r="O40" i="13"/>
  <c r="P40" i="13" s="1"/>
  <c r="Q36" i="13" s="1"/>
  <c r="D41" i="13" s="1"/>
  <c r="N40" i="13"/>
  <c r="L40" i="13"/>
  <c r="M35" i="13" s="1"/>
  <c r="C40" i="13" s="1"/>
  <c r="P39" i="13"/>
  <c r="P38" i="13"/>
  <c r="M38" i="13"/>
  <c r="C43" i="13" s="1"/>
  <c r="P37" i="13"/>
  <c r="P36" i="13"/>
  <c r="M36" i="13"/>
  <c r="C41" i="13" s="1"/>
  <c r="P35" i="13"/>
  <c r="C35" i="13"/>
  <c r="D35" i="13"/>
  <c r="F35" i="13"/>
  <c r="B35" i="13"/>
  <c r="C34" i="13"/>
  <c r="F34" i="13"/>
  <c r="B34" i="13"/>
  <c r="F31" i="13"/>
  <c r="E31" i="13"/>
  <c r="E34" i="13" s="1"/>
  <c r="D31" i="13"/>
  <c r="D34" i="13" s="1"/>
  <c r="B31" i="13"/>
  <c r="K31" i="11" a="1"/>
  <c r="M31" i="11" s="1"/>
  <c r="G11" i="24" l="1"/>
  <c r="G11" i="14"/>
  <c r="G12" i="14"/>
  <c r="I45" i="23"/>
  <c r="H12" i="14"/>
  <c r="H11" i="14"/>
  <c r="AS15" i="24"/>
  <c r="G15" i="14"/>
  <c r="H15" i="14"/>
  <c r="AS17" i="14"/>
  <c r="G13" i="14"/>
  <c r="L45" i="23"/>
  <c r="AS42" i="24"/>
  <c r="G14" i="14"/>
  <c r="H14" i="14"/>
  <c r="H13" i="14"/>
  <c r="G31" i="18"/>
  <c r="G36" i="18" s="1"/>
  <c r="B36" i="18"/>
  <c r="H36" i="18" s="1"/>
  <c r="G34" i="13"/>
  <c r="E26" i="15"/>
  <c r="E29" i="15"/>
  <c r="E35" i="13"/>
  <c r="G35" i="13" s="1"/>
  <c r="B40" i="13"/>
  <c r="E41" i="13"/>
  <c r="J12" i="14" s="1"/>
  <c r="F26" i="15"/>
  <c r="C30" i="15"/>
  <c r="E30" i="15"/>
  <c r="D27" i="15"/>
  <c r="B28" i="15"/>
  <c r="D28" i="15"/>
  <c r="F28" i="15"/>
  <c r="D29" i="15"/>
  <c r="B26" i="15"/>
  <c r="B30" i="15"/>
  <c r="D30" i="15"/>
  <c r="Q35" i="15"/>
  <c r="B41" i="13"/>
  <c r="Q35" i="13"/>
  <c r="P40" i="15"/>
  <c r="Q37" i="15" s="1"/>
  <c r="C28" i="15"/>
  <c r="E28" i="15"/>
  <c r="Q38" i="15"/>
  <c r="Q36" i="15"/>
  <c r="Q37" i="13"/>
  <c r="Q38" i="13"/>
  <c r="Q39" i="13"/>
  <c r="M39" i="13"/>
  <c r="M37" i="13"/>
  <c r="AC35" i="11"/>
  <c r="U35" i="11"/>
  <c r="M35" i="11"/>
  <c r="Z34" i="11"/>
  <c r="R34" i="11"/>
  <c r="AE33" i="11"/>
  <c r="W33" i="11"/>
  <c r="O33" i="11"/>
  <c r="AB32" i="11"/>
  <c r="T32" i="11"/>
  <c r="L32" i="11"/>
  <c r="Y31" i="11"/>
  <c r="Q31" i="11"/>
  <c r="AB35" i="11"/>
  <c r="T35" i="11"/>
  <c r="L35" i="11"/>
  <c r="Y34" i="11"/>
  <c r="Q34" i="11"/>
  <c r="AD33" i="11"/>
  <c r="V33" i="11"/>
  <c r="N33" i="11"/>
  <c r="AA32" i="11"/>
  <c r="S32" i="11"/>
  <c r="K32" i="11"/>
  <c r="X31" i="11"/>
  <c r="P31" i="11"/>
  <c r="AA35" i="11"/>
  <c r="S35" i="11"/>
  <c r="K35" i="11"/>
  <c r="X34" i="11"/>
  <c r="P34" i="11"/>
  <c r="AC33" i="11"/>
  <c r="U33" i="11"/>
  <c r="M33" i="11"/>
  <c r="Z32" i="11"/>
  <c r="R32" i="11"/>
  <c r="AE31" i="11"/>
  <c r="W31" i="11"/>
  <c r="O31" i="11"/>
  <c r="X35" i="11"/>
  <c r="P35" i="11"/>
  <c r="AC34" i="11"/>
  <c r="U34" i="11"/>
  <c r="M34" i="11"/>
  <c r="Z33" i="11"/>
  <c r="R33" i="11"/>
  <c r="AE32" i="11"/>
  <c r="W32" i="11"/>
  <c r="O32" i="11"/>
  <c r="AB31" i="11"/>
  <c r="T31" i="11"/>
  <c r="L31" i="11"/>
  <c r="AE35" i="11"/>
  <c r="W35" i="11"/>
  <c r="O35" i="11"/>
  <c r="AB34" i="11"/>
  <c r="T34" i="11"/>
  <c r="L34" i="11"/>
  <c r="Y33" i="11"/>
  <c r="Q33" i="11"/>
  <c r="AD32" i="11"/>
  <c r="V32" i="11"/>
  <c r="N32" i="11"/>
  <c r="AA31" i="11"/>
  <c r="S31" i="11"/>
  <c r="K31" i="11"/>
  <c r="AD35" i="11"/>
  <c r="V35" i="11"/>
  <c r="N35" i="11"/>
  <c r="AA34" i="11"/>
  <c r="S34" i="11"/>
  <c r="K34" i="11"/>
  <c r="X33" i="11"/>
  <c r="P33" i="11"/>
  <c r="AC32" i="11"/>
  <c r="U32" i="11"/>
  <c r="M32" i="11"/>
  <c r="Z31" i="11"/>
  <c r="R31" i="11"/>
  <c r="Z35" i="11"/>
  <c r="R35" i="11"/>
  <c r="AE34" i="11"/>
  <c r="W34" i="11"/>
  <c r="O34" i="11"/>
  <c r="AB33" i="11"/>
  <c r="T33" i="11"/>
  <c r="L33" i="11"/>
  <c r="Y32" i="11"/>
  <c r="Q32" i="11"/>
  <c r="AD31" i="11"/>
  <c r="V31" i="11"/>
  <c r="N31" i="11"/>
  <c r="Y35" i="11"/>
  <c r="Q35" i="11"/>
  <c r="AD34" i="11"/>
  <c r="V34" i="11"/>
  <c r="N34" i="11"/>
  <c r="AA33" i="11"/>
  <c r="S33" i="11"/>
  <c r="K33" i="11"/>
  <c r="X32" i="11"/>
  <c r="P32" i="11"/>
  <c r="AC31" i="11"/>
  <c r="U31" i="11"/>
  <c r="AS14" i="23" l="1"/>
  <c r="AS12" i="23"/>
  <c r="AS13" i="23"/>
  <c r="AS13" i="24"/>
  <c r="AS14" i="24"/>
  <c r="H45" i="23"/>
  <c r="H45" i="24"/>
  <c r="G45" i="23"/>
  <c r="AS11" i="23"/>
  <c r="AS15" i="23"/>
  <c r="AS12" i="24"/>
  <c r="AS11" i="24"/>
  <c r="AS12" i="14"/>
  <c r="D43" i="13"/>
  <c r="E43" i="13"/>
  <c r="J14" i="14" s="1"/>
  <c r="D42" i="13"/>
  <c r="E42" i="13"/>
  <c r="J13" i="14" s="1"/>
  <c r="B31" i="11" a="1"/>
  <c r="B42" i="13"/>
  <c r="C42" i="13"/>
  <c r="H45" i="14" s="1"/>
  <c r="Q39" i="15"/>
  <c r="B44" i="13"/>
  <c r="C44" i="13"/>
  <c r="G37" i="13"/>
  <c r="D44" i="13"/>
  <c r="E44" i="13"/>
  <c r="J15" i="14" s="1"/>
  <c r="D40" i="13"/>
  <c r="E40" i="13"/>
  <c r="J11" i="14" s="1"/>
  <c r="J45" i="14" s="1"/>
  <c r="AL35" i="10"/>
  <c r="G38" i="10"/>
  <c r="F38" i="10"/>
  <c r="E38" i="10"/>
  <c r="D38" i="10"/>
  <c r="C38" i="10"/>
  <c r="I38" i="10"/>
  <c r="AI38" i="10"/>
  <c r="G46" i="23" l="1" a="1"/>
  <c r="AP46" i="23" s="1"/>
  <c r="I45" i="14"/>
  <c r="AS15" i="14"/>
  <c r="AS13" i="14"/>
  <c r="AS14" i="14"/>
  <c r="B31" i="11"/>
  <c r="C32" i="11"/>
  <c r="C33" i="11"/>
  <c r="F35" i="11"/>
  <c r="D34" i="11"/>
  <c r="C35" i="11"/>
  <c r="E31" i="11"/>
  <c r="C34" i="11"/>
  <c r="D31" i="11"/>
  <c r="E33" i="11"/>
  <c r="E34" i="11"/>
  <c r="E32" i="11"/>
  <c r="D33" i="11"/>
  <c r="F33" i="11"/>
  <c r="F34" i="11"/>
  <c r="C31" i="11"/>
  <c r="E35" i="11"/>
  <c r="B32" i="11"/>
  <c r="B33" i="11"/>
  <c r="B35" i="11"/>
  <c r="B34" i="11"/>
  <c r="D32" i="11"/>
  <c r="D35" i="11"/>
  <c r="F31" i="11"/>
  <c r="F32" i="11"/>
  <c r="AS11" i="14"/>
  <c r="G45" i="14"/>
  <c r="AJ33" i="7"/>
  <c r="AG36" i="7"/>
  <c r="I15" i="3"/>
  <c r="P13" i="3"/>
  <c r="M16" i="3"/>
  <c r="AL31" i="10"/>
  <c r="AE38" i="10"/>
  <c r="AL26" i="10"/>
  <c r="Z38" i="10"/>
  <c r="Y38" i="10"/>
  <c r="X27" i="10"/>
  <c r="AL27" i="10" s="1"/>
  <c r="AJ38" i="10"/>
  <c r="AH38" i="10"/>
  <c r="AG38" i="10"/>
  <c r="AF38" i="10"/>
  <c r="AD38" i="10"/>
  <c r="AC38" i="10"/>
  <c r="AB38" i="10"/>
  <c r="AA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H38" i="10"/>
  <c r="AL37" i="10"/>
  <c r="AK38" i="10"/>
  <c r="AL34" i="10"/>
  <c r="AL33" i="10"/>
  <c r="AL32" i="10"/>
  <c r="AL30" i="10"/>
  <c r="AL29" i="10"/>
  <c r="AL28" i="10"/>
  <c r="AL25" i="10"/>
  <c r="AL24" i="10"/>
  <c r="AL23" i="10"/>
  <c r="AL22" i="10"/>
  <c r="AL21" i="10"/>
  <c r="AL20" i="10"/>
  <c r="AL19" i="10"/>
  <c r="AL18" i="10"/>
  <c r="AL17" i="10"/>
  <c r="AL16" i="10"/>
  <c r="AL15" i="10"/>
  <c r="AL14" i="10"/>
  <c r="AL13" i="10"/>
  <c r="AL12" i="10"/>
  <c r="AL11" i="10"/>
  <c r="AL10" i="10"/>
  <c r="AL9" i="10"/>
  <c r="AL8" i="10"/>
  <c r="AL7" i="10"/>
  <c r="AL6" i="10"/>
  <c r="AL5" i="10"/>
  <c r="AL4" i="10"/>
  <c r="AL3" i="10"/>
  <c r="AI34" i="7"/>
  <c r="X26" i="7"/>
  <c r="E7" i="3"/>
  <c r="S46" i="23" l="1"/>
  <c r="U46" i="23"/>
  <c r="L46" i="23"/>
  <c r="I46" i="23"/>
  <c r="AJ46" i="23"/>
  <c r="AD46" i="23"/>
  <c r="O46" i="23"/>
  <c r="AK46" i="23"/>
  <c r="AH46" i="23"/>
  <c r="H46" i="23"/>
  <c r="K46" i="23"/>
  <c r="AF46" i="23"/>
  <c r="AE46" i="23"/>
  <c r="AB46" i="23"/>
  <c r="Y46" i="23"/>
  <c r="M46" i="23"/>
  <c r="J46" i="23"/>
  <c r="AA46" i="23"/>
  <c r="V46" i="23"/>
  <c r="AG46" i="23"/>
  <c r="AQ46" i="23"/>
  <c r="R46" i="23"/>
  <c r="AM46" i="23"/>
  <c r="AL46" i="23"/>
  <c r="X46" i="23"/>
  <c r="W46" i="23"/>
  <c r="T46" i="23"/>
  <c r="Q46" i="23"/>
  <c r="AR46" i="23"/>
  <c r="G46" i="23"/>
  <c r="AC46" i="23"/>
  <c r="Z46" i="23"/>
  <c r="AI46" i="23"/>
  <c r="P46" i="23"/>
  <c r="AO46" i="23"/>
  <c r="AN46" i="23"/>
  <c r="N46" i="23"/>
  <c r="G33" i="11"/>
  <c r="AS34" i="14"/>
  <c r="AC45" i="14"/>
  <c r="D36" i="11"/>
  <c r="B36" i="11"/>
  <c r="H36" i="11" s="1"/>
  <c r="G31" i="11"/>
  <c r="G36" i="11" s="1"/>
  <c r="F36" i="11"/>
  <c r="AE45" i="14"/>
  <c r="AB45" i="14"/>
  <c r="C36" i="11"/>
  <c r="AS36" i="14"/>
  <c r="G35" i="11"/>
  <c r="G32" i="11"/>
  <c r="AS33" i="14"/>
  <c r="AD45" i="14"/>
  <c r="E36" i="11"/>
  <c r="AS35" i="14"/>
  <c r="G34" i="11"/>
  <c r="X38" i="10"/>
  <c r="AL36" i="10"/>
  <c r="H36" i="7"/>
  <c r="AJ26" i="7"/>
  <c r="AJ25" i="7"/>
  <c r="AJ24" i="7"/>
  <c r="AJ23" i="7"/>
  <c r="AJ22" i="7"/>
  <c r="AJ21" i="7"/>
  <c r="AJ20" i="7"/>
  <c r="AJ19" i="7"/>
  <c r="AJ17" i="7"/>
  <c r="AJ16" i="7"/>
  <c r="AJ15" i="7"/>
  <c r="AJ14" i="7"/>
  <c r="AJ13" i="7"/>
  <c r="AJ12" i="7"/>
  <c r="AJ11" i="7"/>
  <c r="AJ9" i="7"/>
  <c r="L36" i="7"/>
  <c r="AJ8" i="7"/>
  <c r="AJ7" i="7"/>
  <c r="AJ6" i="7"/>
  <c r="AJ4" i="7"/>
  <c r="AJ3" i="7"/>
  <c r="P15" i="3"/>
  <c r="AJ10" i="7"/>
  <c r="AJ18" i="7"/>
  <c r="E36" i="7"/>
  <c r="O36" i="7"/>
  <c r="X36" i="7"/>
  <c r="Y36" i="7"/>
  <c r="Z36" i="7"/>
  <c r="AI36" i="7"/>
  <c r="AH36" i="7"/>
  <c r="AF36" i="7"/>
  <c r="AE36" i="7"/>
  <c r="AD36" i="7"/>
  <c r="AC36" i="7"/>
  <c r="AB36" i="7"/>
  <c r="AA36" i="7"/>
  <c r="AJ35" i="7"/>
  <c r="AJ34" i="7"/>
  <c r="AJ32" i="7"/>
  <c r="AJ31" i="7"/>
  <c r="AJ30" i="7"/>
  <c r="AJ29" i="7"/>
  <c r="AJ28" i="7"/>
  <c r="AJ27" i="7"/>
  <c r="O16" i="3"/>
  <c r="N16" i="3"/>
  <c r="L16" i="3"/>
  <c r="K16" i="3"/>
  <c r="J16" i="3"/>
  <c r="H16" i="3"/>
  <c r="G16" i="3"/>
  <c r="F16" i="3"/>
  <c r="E16" i="3"/>
  <c r="D16" i="3"/>
  <c r="C16" i="3"/>
  <c r="P14" i="3"/>
  <c r="P12" i="3"/>
  <c r="P11" i="3"/>
  <c r="P10" i="3"/>
  <c r="P9" i="3"/>
  <c r="P8" i="3"/>
  <c r="P7" i="3"/>
  <c r="P6" i="3"/>
  <c r="P5" i="3"/>
  <c r="P4" i="3"/>
  <c r="P3" i="3"/>
  <c r="AA45" i="14" l="1"/>
  <c r="AS32" i="14"/>
  <c r="G46" i="14" s="1" a="1"/>
  <c r="I16" i="3"/>
  <c r="F36" i="7"/>
  <c r="V36" i="7"/>
  <c r="I36" i="7"/>
  <c r="Q36" i="7"/>
  <c r="T36" i="7"/>
  <c r="N36" i="7"/>
  <c r="G36" i="7"/>
  <c r="W36" i="7"/>
  <c r="J36" i="7"/>
  <c r="R36" i="7"/>
  <c r="M36" i="7"/>
  <c r="U36" i="7"/>
  <c r="P36" i="7"/>
  <c r="C36" i="7"/>
  <c r="K36" i="7"/>
  <c r="S36" i="7"/>
  <c r="AJ5" i="7"/>
  <c r="D36" i="7"/>
  <c r="G46" i="14" l="1"/>
  <c r="N46" i="14"/>
  <c r="AB46" i="14"/>
  <c r="K46" i="14"/>
  <c r="H46" i="14"/>
  <c r="T46" i="14"/>
  <c r="AM46" i="14"/>
  <c r="AP46" i="14"/>
  <c r="U46" i="14"/>
  <c r="AD46" i="14"/>
  <c r="AH46" i="14"/>
  <c r="I46" i="14"/>
  <c r="W46" i="14"/>
  <c r="AR46" i="14"/>
  <c r="AA46" i="14"/>
  <c r="J46" i="14"/>
  <c r="Q46" i="14"/>
  <c r="M46" i="14"/>
  <c r="AQ46" i="14"/>
  <c r="Z46" i="14"/>
  <c r="AN46" i="14"/>
  <c r="O46" i="14"/>
  <c r="V46" i="14"/>
  <c r="AI46" i="14"/>
  <c r="R46" i="14"/>
  <c r="AF46" i="14"/>
  <c r="X46" i="14"/>
  <c r="AC46" i="14"/>
  <c r="AE46" i="14"/>
  <c r="AJ46" i="14"/>
  <c r="S46" i="14"/>
  <c r="AO46" i="14"/>
  <c r="P46" i="14"/>
  <c r="AG46" i="14"/>
  <c r="AK46" i="14"/>
  <c r="AL46" i="14"/>
  <c r="Y46" i="14"/>
  <c r="L46" i="14"/>
  <c r="AS44" i="24" l="1"/>
  <c r="G45" i="24"/>
  <c r="G46" i="24" a="1"/>
  <c r="X46" i="24"/>
  <c r="X47" i="24"/>
  <c r="P36" i="24"/>
  <c r="AS36" i="24"/>
  <c r="AJ46" i="24"/>
  <c r="H46" i="24"/>
  <c r="AB46" i="24"/>
  <c r="V46" i="24"/>
  <c r="AP46" i="24"/>
  <c r="P46" i="24"/>
  <c r="T46" i="24"/>
  <c r="Z46" i="24"/>
  <c r="AD46" i="24"/>
  <c r="P34" i="24"/>
  <c r="AS34" i="24"/>
  <c r="AH46" i="24"/>
  <c r="P32" i="24"/>
  <c r="AS32" i="24"/>
  <c r="AF46" i="24"/>
  <c r="AM46" i="24"/>
  <c r="K46" i="24"/>
  <c r="O46" i="24"/>
  <c r="AQ46" i="24"/>
  <c r="P35" i="24"/>
  <c r="AS35" i="24"/>
  <c r="AI46" i="24"/>
  <c r="W46" i="24"/>
  <c r="G46" i="24"/>
  <c r="P33" i="24"/>
  <c r="AS33" i="24"/>
  <c r="AG46" i="24"/>
  <c r="AE46" i="24"/>
  <c r="R46" i="24"/>
  <c r="AC46" i="24"/>
  <c r="S46" i="24"/>
  <c r="Q46" i="24"/>
  <c r="Y46" i="24"/>
  <c r="L46" i="24"/>
  <c r="N46" i="24"/>
  <c r="AN46" i="24"/>
  <c r="AK46" i="24"/>
  <c r="J46" i="24"/>
  <c r="AL46" i="24"/>
  <c r="I46" i="24"/>
  <c r="AR46" i="24"/>
  <c r="AO46" i="24"/>
  <c r="AA46" i="24"/>
  <c r="U46" i="24"/>
  <c r="M46" i="24"/>
  <c r="P45" i="24"/>
  <c r="G47" i="24"/>
  <c r="AK47" i="24"/>
  <c r="AC47" i="24"/>
  <c r="U47" i="24"/>
  <c r="M47" i="24"/>
  <c r="AR47" i="24"/>
  <c r="AJ47" i="24"/>
  <c r="AB47" i="24"/>
  <c r="T47" i="24"/>
  <c r="L47" i="24"/>
  <c r="AQ47" i="24"/>
  <c r="AI47" i="24"/>
  <c r="AA47" i="24"/>
  <c r="S47" i="24"/>
  <c r="K47" i="24"/>
  <c r="AP47" i="24"/>
  <c r="AH47" i="24"/>
  <c r="Z47" i="24"/>
  <c r="R47" i="24"/>
  <c r="J47" i="24"/>
  <c r="AO47" i="24"/>
  <c r="AG47" i="24"/>
  <c r="Y47" i="24"/>
  <c r="Q47" i="24"/>
  <c r="I47" i="24"/>
  <c r="AN47" i="24"/>
  <c r="AF47" i="24"/>
  <c r="P47" i="24"/>
  <c r="H47" i="24"/>
  <c r="AM47" i="24"/>
  <c r="AE47" i="24"/>
  <c r="W47" i="24"/>
  <c r="O47" i="24"/>
  <c r="AL47" i="24"/>
  <c r="AD47" i="24"/>
  <c r="V47" i="24"/>
  <c r="N47" i="24"/>
  <c r="AS43" i="25"/>
  <c r="G46" i="25" a="1"/>
  <c r="G46" i="25"/>
  <c r="G47" i="25"/>
  <c r="M46" i="25"/>
  <c r="M47" i="25"/>
  <c r="AB46" i="25"/>
  <c r="AB47" i="25"/>
  <c r="S46" i="25"/>
  <c r="S47" i="25"/>
  <c r="Q46" i="25"/>
  <c r="Q47" i="25"/>
  <c r="X46" i="25"/>
  <c r="X47" i="25"/>
  <c r="P33" i="25"/>
  <c r="AS33" i="25"/>
  <c r="W46" i="25"/>
  <c r="W47" i="25"/>
  <c r="AD46" i="25"/>
  <c r="AD47" i="25"/>
  <c r="H46" i="25"/>
  <c r="H47" i="25"/>
  <c r="AC46" i="25"/>
  <c r="AC47" i="25"/>
  <c r="P35" i="25"/>
  <c r="AS35" i="25"/>
  <c r="I46" i="25"/>
  <c r="I47" i="25"/>
  <c r="J46" i="25"/>
  <c r="J47" i="25"/>
  <c r="P36" i="25"/>
  <c r="AS36" i="25"/>
  <c r="L46" i="25"/>
  <c r="L47" i="25"/>
  <c r="N46" i="25"/>
  <c r="N47" i="25"/>
  <c r="P46" i="25"/>
  <c r="P32" i="25"/>
  <c r="P34" i="25"/>
  <c r="P45" i="25"/>
  <c r="P47" i="25"/>
  <c r="Z46" i="25"/>
  <c r="Z47" i="25"/>
  <c r="AO46" i="25"/>
  <c r="AO47" i="25"/>
  <c r="T46" i="25"/>
  <c r="T47" i="25"/>
  <c r="AK46" i="25"/>
  <c r="AK47" i="25"/>
  <c r="AM46" i="25"/>
  <c r="AM47" i="25"/>
  <c r="K46" i="25"/>
  <c r="K47" i="25"/>
  <c r="O46" i="25"/>
  <c r="O47" i="25"/>
  <c r="AE46" i="25"/>
  <c r="AE47" i="25"/>
  <c r="AS32" i="25"/>
  <c r="AS34" i="25"/>
  <c r="AH46" i="25"/>
  <c r="AH47" i="25"/>
  <c r="AI46" i="25"/>
  <c r="AI47" i="25"/>
  <c r="AP46" i="25"/>
  <c r="AP47" i="25"/>
  <c r="AL46" i="25"/>
  <c r="AL47" i="25"/>
  <c r="AA46" i="25"/>
  <c r="AA47" i="25"/>
  <c r="AJ46" i="25"/>
  <c r="AJ47" i="25"/>
  <c r="U46" i="25"/>
  <c r="U47" i="25"/>
  <c r="R46" i="25"/>
  <c r="R47" i="25"/>
  <c r="AG46" i="25"/>
  <c r="AG47" i="25"/>
  <c r="AN46" i="25"/>
  <c r="AN47" i="25"/>
  <c r="AR46" i="25"/>
  <c r="AR47" i="25"/>
  <c r="V46" i="25"/>
  <c r="V47" i="25"/>
  <c r="AF46" i="25"/>
  <c r="AF47" i="25"/>
  <c r="AQ46" i="25"/>
  <c r="AQ47" i="25"/>
  <c r="Y46" i="25"/>
  <c r="Y47" i="25"/>
  <c r="B43" i="34" l="1" a="1"/>
  <c r="AI43" i="34" s="1"/>
  <c r="AP37" i="34"/>
  <c r="V42" i="34"/>
  <c r="Y43" i="34" l="1"/>
  <c r="L43" i="34"/>
  <c r="AL43" i="34"/>
  <c r="I43" i="34"/>
  <c r="AB43" i="34"/>
  <c r="D43" i="34"/>
  <c r="C43" i="34"/>
  <c r="AH43" i="34"/>
  <c r="V43" i="34"/>
  <c r="AM43" i="34"/>
  <c r="W43" i="34"/>
  <c r="AP43" i="34"/>
  <c r="F43" i="34"/>
  <c r="E43" i="34"/>
  <c r="AF43" i="34"/>
  <c r="N43" i="34"/>
  <c r="S43" i="34"/>
  <c r="G43" i="34"/>
  <c r="AD43" i="34"/>
  <c r="O43" i="34"/>
  <c r="AO43" i="34"/>
  <c r="M43" i="34"/>
  <c r="AJ43" i="34"/>
  <c r="R43" i="34"/>
  <c r="P43" i="34"/>
  <c r="AG43" i="34"/>
  <c r="AC43" i="34"/>
  <c r="AN43" i="34"/>
  <c r="T43" i="34"/>
  <c r="X43" i="34"/>
  <c r="B43" i="34"/>
  <c r="J43" i="34"/>
  <c r="Q43" i="34"/>
  <c r="U43" i="34"/>
  <c r="AK43" i="34"/>
  <c r="AA43" i="34"/>
  <c r="K43" i="34"/>
  <c r="H43" i="34"/>
  <c r="AE43" i="34"/>
  <c r="Z43" i="34"/>
</calcChain>
</file>

<file path=xl/sharedStrings.xml><?xml version="1.0" encoding="utf-8"?>
<sst xmlns="http://schemas.openxmlformats.org/spreadsheetml/2006/main" count="3438" uniqueCount="282">
  <si>
    <t>생산활동</t>
    <phoneticPr fontId="1" type="noConversion"/>
  </si>
  <si>
    <t>중간재화</t>
    <phoneticPr fontId="1" type="noConversion"/>
  </si>
  <si>
    <t>생산요소</t>
    <phoneticPr fontId="1" type="noConversion"/>
  </si>
  <si>
    <t>노동</t>
    <phoneticPr fontId="1" type="noConversion"/>
  </si>
  <si>
    <t>자본</t>
    <phoneticPr fontId="1" type="noConversion"/>
  </si>
  <si>
    <t>제도</t>
    <phoneticPr fontId="1" type="noConversion"/>
  </si>
  <si>
    <t>가계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</si>
  <si>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</si>
  <si>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</si>
  <si>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</si>
  <si>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투자</t>
    <phoneticPr fontId="1" type="noConversion"/>
  </si>
  <si>
    <t>세금</t>
    <phoneticPr fontId="1" type="noConversion"/>
  </si>
  <si>
    <t>간접세</t>
    <phoneticPr fontId="1" type="noConversion"/>
  </si>
  <si>
    <t>법인세</t>
    <phoneticPr fontId="1" type="noConversion"/>
  </si>
  <si>
    <t>소득세</t>
    <phoneticPr fontId="1" type="noConversion"/>
  </si>
  <si>
    <t>수출</t>
    <phoneticPr fontId="1" type="noConversion"/>
  </si>
  <si>
    <t>수입</t>
    <phoneticPr fontId="1" type="noConversion"/>
  </si>
  <si>
    <t>총계</t>
    <phoneticPr fontId="1" type="noConversion"/>
  </si>
  <si>
    <t>해외</t>
    <phoneticPr fontId="1" type="noConversion"/>
  </si>
  <si>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</si>
  <si>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</si>
  <si>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</si>
  <si>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</si>
  <si>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</si>
  <si>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</si>
  <si>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</si>
  <si>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</si>
  <si>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</si>
  <si>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</si>
  <si>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</si>
  <si>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</si>
  <si>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</si>
  <si>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</si>
  <si>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</si>
  <si>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</si>
  <si>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</si>
  <si>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</si>
  <si>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</si>
  <si>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</si>
  <si>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</si>
  <si>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 xml:space="preserve"> </t>
    <phoneticPr fontId="1" type="noConversion"/>
  </si>
  <si>
    <t>관세</t>
    <phoneticPr fontId="1" type="noConversion"/>
  </si>
  <si>
    <t>관세</t>
    <phoneticPr fontId="1" type="noConversion"/>
  </si>
  <si>
    <t>SIT 고정자본형성</t>
    <phoneticPr fontId="1" type="noConversion"/>
  </si>
  <si>
    <t>SIT 고정자본형성</t>
    <phoneticPr fontId="1" type="noConversion"/>
  </si>
  <si>
    <t>SIT 자본</t>
    <phoneticPr fontId="1" type="noConversion"/>
  </si>
  <si>
    <t>농림수산광업</t>
  </si>
  <si>
    <t>제조업</t>
    <phoneticPr fontId="1" type="noConversion"/>
  </si>
  <si>
    <t>SOC산업</t>
    <phoneticPr fontId="1" type="noConversion"/>
  </si>
  <si>
    <t>서비스업</t>
    <phoneticPr fontId="1" type="noConversion"/>
  </si>
  <si>
    <t>공간정보산업</t>
    <phoneticPr fontId="1" type="noConversion"/>
  </si>
  <si>
    <t>농림수산광업제품</t>
    <phoneticPr fontId="1" type="noConversion"/>
  </si>
  <si>
    <t>제조업제품</t>
    <phoneticPr fontId="1" type="noConversion"/>
  </si>
  <si>
    <t>SOC</t>
    <phoneticPr fontId="1" type="noConversion"/>
  </si>
  <si>
    <t>서비스</t>
    <phoneticPr fontId="1" type="noConversion"/>
  </si>
  <si>
    <t>공간정보제품</t>
    <phoneticPr fontId="1" type="noConversion"/>
  </si>
  <si>
    <t>주:행은 산업을 제품으로 명칭변경</t>
    <phoneticPr fontId="1" type="noConversion"/>
  </si>
  <si>
    <t>숙련가중치</t>
    <phoneticPr fontId="1" type="noConversion"/>
  </si>
  <si>
    <t>저숙련가중치</t>
    <phoneticPr fontId="1" type="noConversion"/>
  </si>
  <si>
    <t>저숙련노동</t>
    <phoneticPr fontId="1" type="noConversion"/>
  </si>
  <si>
    <t>숙련노동</t>
    <phoneticPr fontId="1" type="noConversion"/>
  </si>
  <si>
    <t>1분위</t>
    <phoneticPr fontId="1" type="noConversion"/>
  </si>
  <si>
    <t>2분위</t>
    <phoneticPr fontId="1" type="noConversion"/>
  </si>
  <si>
    <t>3분위</t>
    <phoneticPr fontId="1" type="noConversion"/>
  </si>
  <si>
    <t>4분위</t>
    <phoneticPr fontId="1" type="noConversion"/>
  </si>
  <si>
    <t>5분위</t>
    <phoneticPr fontId="1" type="noConversion"/>
  </si>
  <si>
    <t>5분위</t>
    <phoneticPr fontId="1" type="noConversion"/>
  </si>
  <si>
    <t>합계</t>
    <phoneticPr fontId="1" type="noConversion"/>
  </si>
  <si>
    <t>%</t>
    <phoneticPr fontId="1" type="noConversion"/>
  </si>
  <si>
    <t>근로소득</t>
    <phoneticPr fontId="1" type="noConversion"/>
  </si>
  <si>
    <t>근로소득비중</t>
    <phoneticPr fontId="1" type="noConversion"/>
  </si>
  <si>
    <t>사업소득</t>
    <phoneticPr fontId="1" type="noConversion"/>
  </si>
  <si>
    <t>재산소득</t>
    <phoneticPr fontId="1" type="noConversion"/>
  </si>
  <si>
    <t>자본소득</t>
    <phoneticPr fontId="1" type="noConversion"/>
  </si>
  <si>
    <t>자본소득비중</t>
    <phoneticPr fontId="1" type="noConversion"/>
  </si>
  <si>
    <t>5분위</t>
    <phoneticPr fontId="1" type="noConversion"/>
  </si>
  <si>
    <t>합계</t>
    <phoneticPr fontId="1" type="noConversion"/>
  </si>
  <si>
    <t>주: 자본소득=사업소득+재산소득</t>
    <phoneticPr fontId="1" type="noConversion"/>
  </si>
  <si>
    <t>자본</t>
    <phoneticPr fontId="1" type="noConversion"/>
  </si>
  <si>
    <t>물적자본</t>
    <phoneticPr fontId="1" type="noConversion"/>
  </si>
  <si>
    <t>공간정보자본</t>
    <phoneticPr fontId="1" type="noConversion"/>
  </si>
  <si>
    <t>물적자본</t>
    <phoneticPr fontId="1" type="noConversion"/>
  </si>
  <si>
    <t>공간정보자본</t>
    <phoneticPr fontId="1" type="noConversion"/>
  </si>
  <si>
    <t>가계소비</t>
    <phoneticPr fontId="1" type="noConversion"/>
  </si>
  <si>
    <t>1분위</t>
    <phoneticPr fontId="1" type="noConversion"/>
  </si>
  <si>
    <t>3분위</t>
    <phoneticPr fontId="1" type="noConversion"/>
  </si>
  <si>
    <t>합계</t>
    <phoneticPr fontId="1" type="noConversion"/>
  </si>
  <si>
    <r>
      <t>C</t>
    </r>
    <r>
      <rPr>
        <sz val="10"/>
        <rFont val="Arial"/>
        <family val="2"/>
      </rPr>
      <t>olumn: Expentures</t>
    </r>
    <phoneticPr fontId="7" type="noConversion"/>
  </si>
  <si>
    <t>Labor</t>
    <phoneticPr fontId="7" type="noConversion"/>
  </si>
  <si>
    <t>Capital</t>
    <phoneticPr fontId="7" type="noConversion"/>
  </si>
  <si>
    <t>Agents</t>
    <phoneticPr fontId="7" type="noConversion"/>
  </si>
  <si>
    <t>All industries</t>
    <phoneticPr fontId="7" type="noConversion"/>
  </si>
  <si>
    <t>All commodities</t>
    <phoneticPr fontId="7" type="noConversion"/>
  </si>
  <si>
    <t>Exports</t>
    <phoneticPr fontId="7" type="noConversion"/>
  </si>
  <si>
    <t>Accumuation</t>
    <phoneticPr fontId="7" type="noConversion"/>
  </si>
  <si>
    <t>L</t>
  </si>
  <si>
    <t>K</t>
  </si>
  <si>
    <t>AG</t>
  </si>
  <si>
    <t>J</t>
  </si>
  <si>
    <t>I</t>
  </si>
  <si>
    <t>X</t>
  </si>
  <si>
    <t>OTH</t>
  </si>
  <si>
    <t>USK</t>
  </si>
  <si>
    <t>SK</t>
  </si>
  <si>
    <t>CAP</t>
  </si>
  <si>
    <t>LAND</t>
  </si>
  <si>
    <t>HRP</t>
  </si>
  <si>
    <t>HUP</t>
  </si>
  <si>
    <t>HRR</t>
  </si>
  <si>
    <t>HUR</t>
  </si>
  <si>
    <t>FIRM</t>
  </si>
  <si>
    <t>GVT</t>
  </si>
  <si>
    <t>TD</t>
  </si>
  <si>
    <t>TM</t>
  </si>
  <si>
    <t>TI</t>
  </si>
  <si>
    <t>ROW</t>
  </si>
  <si>
    <t>AGR</t>
  </si>
  <si>
    <t>IND</t>
  </si>
  <si>
    <t>SER</t>
  </si>
  <si>
    <t>ADM</t>
  </si>
  <si>
    <t>FOOD</t>
  </si>
  <si>
    <t>OTHIND</t>
  </si>
  <si>
    <t>INV</t>
  </si>
  <si>
    <t>VSTK</t>
  </si>
  <si>
    <t>TOT</t>
  </si>
  <si>
    <t>SOC</t>
    <phoneticPr fontId="7" type="noConversion"/>
  </si>
  <si>
    <t>IND</t>
    <phoneticPr fontId="7" type="noConversion"/>
  </si>
  <si>
    <t>SOC</t>
    <phoneticPr fontId="7" type="noConversion"/>
  </si>
  <si>
    <t>SIT</t>
    <phoneticPr fontId="7" type="noConversion"/>
  </si>
  <si>
    <t>IND</t>
    <phoneticPr fontId="7" type="noConversion"/>
  </si>
  <si>
    <r>
      <t>R</t>
    </r>
    <r>
      <rPr>
        <sz val="10"/>
        <rFont val="Arial"/>
        <family val="2"/>
      </rPr>
      <t>ow : Income</t>
    </r>
    <phoneticPr fontId="7" type="noConversion"/>
  </si>
  <si>
    <t>비숙련노동</t>
    <phoneticPr fontId="7" type="noConversion"/>
  </si>
  <si>
    <t>숙련노동</t>
    <phoneticPr fontId="7" type="noConversion"/>
  </si>
  <si>
    <r>
      <t>C</t>
    </r>
    <r>
      <rPr>
        <sz val="10"/>
        <rFont val="Arial"/>
        <family val="2"/>
      </rPr>
      <t>apital</t>
    </r>
    <phoneticPr fontId="7" type="noConversion"/>
  </si>
  <si>
    <r>
      <rPr>
        <sz val="10"/>
        <rFont val="돋움"/>
        <family val="3"/>
        <charset val="129"/>
      </rPr>
      <t>자본</t>
    </r>
    <r>
      <rPr>
        <sz val="10"/>
        <rFont val="Arial"/>
        <family val="2"/>
      </rPr>
      <t xml:space="preserve"> </t>
    </r>
    <phoneticPr fontId="7" type="noConversion"/>
  </si>
  <si>
    <t>토지</t>
    <phoneticPr fontId="7" type="noConversion"/>
  </si>
  <si>
    <r>
      <t>A</t>
    </r>
    <r>
      <rPr>
        <sz val="10"/>
        <rFont val="Arial"/>
        <family val="2"/>
      </rPr>
      <t>gents</t>
    </r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</si>
  <si>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(I)</t>
    </r>
    <phoneticPr fontId="7" type="noConversion"/>
  </si>
  <si>
    <t>HI1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</si>
  <si>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(III)</t>
    </r>
    <phoneticPr fontId="7" type="noConversion"/>
  </si>
  <si>
    <t>HI2</t>
    <phoneticPr fontId="7" type="noConversion"/>
  </si>
  <si>
    <t>HI3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</si>
  <si>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(IVI)</t>
    </r>
    <phoneticPr fontId="7" type="noConversion"/>
  </si>
  <si>
    <t>HI4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</si>
  <si>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(VI)</t>
    </r>
    <phoneticPr fontId="7" type="noConversion"/>
  </si>
  <si>
    <t>HI5</t>
    <phoneticPr fontId="7" type="noConversion"/>
  </si>
  <si>
    <t>기업</t>
    <phoneticPr fontId="7" type="noConversion"/>
  </si>
  <si>
    <t>정부</t>
    <phoneticPr fontId="7" type="noConversion"/>
  </si>
  <si>
    <t>소득세</t>
    <phoneticPr fontId="7" type="noConversion"/>
  </si>
  <si>
    <t>법인세</t>
    <phoneticPr fontId="7" type="noConversion"/>
  </si>
  <si>
    <t>간접세</t>
    <phoneticPr fontId="7" type="noConversion"/>
  </si>
  <si>
    <t>해외</t>
    <phoneticPr fontId="7" type="noConversion"/>
  </si>
  <si>
    <r>
      <t>A</t>
    </r>
    <r>
      <rPr>
        <sz val="10"/>
        <rFont val="Arial"/>
        <family val="2"/>
      </rPr>
      <t>ll industries</t>
    </r>
    <phoneticPr fontId="7" type="noConversion"/>
  </si>
  <si>
    <t>농림수산광업</t>
    <phoneticPr fontId="7" type="noConversion"/>
  </si>
  <si>
    <t>제조업</t>
    <phoneticPr fontId="7" type="noConversion"/>
  </si>
  <si>
    <t>SEC</t>
    <phoneticPr fontId="7" type="noConversion"/>
  </si>
  <si>
    <t>ADM</t>
    <phoneticPr fontId="7" type="noConversion"/>
  </si>
  <si>
    <r>
      <t>A</t>
    </r>
    <r>
      <rPr>
        <sz val="10"/>
        <rFont val="Arial"/>
        <family val="2"/>
      </rPr>
      <t>ll commodities</t>
    </r>
    <phoneticPr fontId="7" type="noConversion"/>
  </si>
  <si>
    <t>농림수산광산품</t>
    <phoneticPr fontId="7" type="noConversion"/>
  </si>
  <si>
    <t>제조품</t>
    <phoneticPr fontId="7" type="noConversion"/>
  </si>
  <si>
    <r>
      <t>SOC</t>
    </r>
    <r>
      <rPr>
        <sz val="10"/>
        <rFont val="돋움"/>
        <family val="3"/>
        <charset val="129"/>
      </rPr>
      <t>제품</t>
    </r>
    <phoneticPr fontId="7" type="noConversion"/>
  </si>
  <si>
    <t>서비스제품</t>
    <phoneticPr fontId="7" type="noConversion"/>
  </si>
  <si>
    <t>공간정보제품</t>
    <phoneticPr fontId="7" type="noConversion"/>
  </si>
  <si>
    <r>
      <t>E</t>
    </r>
    <r>
      <rPr>
        <sz val="10"/>
        <rFont val="Arial"/>
        <family val="2"/>
      </rPr>
      <t>xports</t>
    </r>
    <phoneticPr fontId="7" type="noConversion"/>
  </si>
  <si>
    <t>서비스제품</t>
    <phoneticPr fontId="7" type="noConversion"/>
  </si>
  <si>
    <r>
      <t>A</t>
    </r>
    <r>
      <rPr>
        <sz val="10"/>
        <rFont val="Arial"/>
        <family val="2"/>
      </rPr>
      <t>ccumulation</t>
    </r>
    <phoneticPr fontId="7" type="noConversion"/>
  </si>
  <si>
    <t>저축및투자</t>
    <phoneticPr fontId="7" type="noConversion"/>
  </si>
  <si>
    <t>재고증감</t>
    <phoneticPr fontId="7" type="noConversion"/>
  </si>
  <si>
    <t>총계정</t>
    <phoneticPr fontId="7" type="noConversion"/>
  </si>
  <si>
    <t>SIT</t>
    <phoneticPr fontId="7" type="noConversion"/>
  </si>
  <si>
    <t>SIT</t>
    <phoneticPr fontId="1" type="noConversion"/>
  </si>
  <si>
    <t>공간정보산업</t>
    <phoneticPr fontId="7" type="noConversion"/>
  </si>
  <si>
    <r>
      <rPr>
        <sz val="10"/>
        <rFont val="돋움"/>
        <family val="3"/>
        <charset val="129"/>
      </rPr>
      <t>소득분위</t>
    </r>
    <r>
      <rPr>
        <sz val="10"/>
        <rFont val="Arial"/>
        <family val="2"/>
      </rPr>
      <t>(II)</t>
    </r>
    <phoneticPr fontId="7" type="noConversion"/>
  </si>
  <si>
    <t>J</t>
    <phoneticPr fontId="1" type="noConversion"/>
  </si>
  <si>
    <t>AG</t>
    <phoneticPr fontId="1" type="noConversion"/>
  </si>
  <si>
    <t>HI1</t>
    <phoneticPr fontId="1" type="noConversion"/>
  </si>
  <si>
    <t>HI2</t>
    <phoneticPr fontId="1" type="noConversion"/>
  </si>
  <si>
    <t>HI3</t>
    <phoneticPr fontId="1" type="noConversion"/>
  </si>
  <si>
    <t>HI4</t>
    <phoneticPr fontId="1" type="noConversion"/>
  </si>
  <si>
    <t>HI5</t>
    <phoneticPr fontId="1" type="noConversion"/>
  </si>
  <si>
    <t>가계고정자본형성</t>
    <phoneticPr fontId="1" type="noConversion"/>
  </si>
  <si>
    <t>주:고정자본형성 비율은 자본소득 분위별 비율 적용</t>
    <phoneticPr fontId="1" type="noConversion"/>
  </si>
  <si>
    <t>정부소비</t>
    <phoneticPr fontId="1" type="noConversion"/>
  </si>
  <si>
    <t>TC</t>
    <phoneticPr fontId="1" type="noConversion"/>
  </si>
  <si>
    <t>제조품</t>
    <phoneticPr fontId="1" type="noConversion"/>
  </si>
  <si>
    <t>주:관세는 산업별 수입액 비중으로 가중치</t>
    <phoneticPr fontId="1" type="noConversion"/>
  </si>
  <si>
    <t>농림수산광업</t>
    <phoneticPr fontId="1" type="noConversion"/>
  </si>
  <si>
    <t>SOC업</t>
    <phoneticPr fontId="1" type="noConversion"/>
  </si>
  <si>
    <t>산업별총계</t>
    <phoneticPr fontId="1" type="noConversion"/>
  </si>
  <si>
    <t>총계-수출</t>
    <phoneticPr fontId="1" type="noConversion"/>
  </si>
  <si>
    <t>수출비중</t>
    <phoneticPr fontId="1" type="noConversion"/>
  </si>
  <si>
    <t>고정자본형성(제품)</t>
    <phoneticPr fontId="1" type="noConversion"/>
  </si>
  <si>
    <t>soc산업</t>
    <phoneticPr fontId="7" type="noConversion"/>
  </si>
  <si>
    <t>서비스산업</t>
    <phoneticPr fontId="7" type="noConversion"/>
  </si>
  <si>
    <t>ADM</t>
    <phoneticPr fontId="1" type="noConversion"/>
  </si>
  <si>
    <t>SER</t>
    <phoneticPr fontId="1" type="noConversion"/>
  </si>
  <si>
    <t>SER</t>
    <phoneticPr fontId="7" type="noConversion"/>
  </si>
  <si>
    <t>노동</t>
  </si>
  <si>
    <t>자본</t>
  </si>
  <si>
    <t>SIT 자본</t>
  </si>
  <si>
    <t>가계</t>
  </si>
  <si>
    <t>기업</t>
  </si>
  <si>
    <t>정부</t>
  </si>
  <si>
    <t>고정자본형성</t>
  </si>
  <si>
    <t>SIT 고정자본형성</t>
  </si>
  <si>
    <t>간접세</t>
  </si>
  <si>
    <t>법인세</t>
  </si>
  <si>
    <t>소득세</t>
  </si>
  <si>
    <t>관세</t>
  </si>
  <si>
    <t>수출</t>
  </si>
  <si>
    <t>수입</t>
  </si>
  <si>
    <t>총계</t>
  </si>
  <si>
    <t>가계소득세</t>
    <phoneticPr fontId="1" type="noConversion"/>
  </si>
  <si>
    <t>산업별총비용</t>
    <phoneticPr fontId="1" type="noConversion"/>
  </si>
  <si>
    <t>합계노동세자본세</t>
    <phoneticPr fontId="1" type="noConversion"/>
  </si>
  <si>
    <t>노동세자본세감안</t>
    <phoneticPr fontId="1" type="noConversion"/>
  </si>
  <si>
    <t>재고증감</t>
  </si>
  <si>
    <t>재고증감(제품)</t>
    <phoneticPr fontId="1" type="noConversion"/>
  </si>
  <si>
    <t>노동</t>
    <phoneticPr fontId="1" type="noConversion"/>
  </si>
  <si>
    <t>SCT 자본</t>
    <phoneticPr fontId="1" type="noConversion"/>
  </si>
  <si>
    <t>기업</t>
    <phoneticPr fontId="1" type="noConversion"/>
  </si>
  <si>
    <t>정부</t>
    <phoneticPr fontId="1" type="noConversion"/>
  </si>
  <si>
    <t>고정자본형성</t>
    <phoneticPr fontId="1" type="noConversion"/>
  </si>
  <si>
    <t>SCT 고정자본형성</t>
    <phoneticPr fontId="1" type="noConversion"/>
  </si>
  <si>
    <t>법인세</t>
    <phoneticPr fontId="1" type="noConversion"/>
  </si>
  <si>
    <t>소득세</t>
    <phoneticPr fontId="1" type="noConversion"/>
  </si>
  <si>
    <t>관세</t>
    <phoneticPr fontId="1" type="noConversion"/>
  </si>
  <si>
    <t>수출</t>
    <phoneticPr fontId="1" type="noConversion"/>
  </si>
  <si>
    <t>수입</t>
    <phoneticPr fontId="1" type="noConversion"/>
  </si>
  <si>
    <t>SCT 자본</t>
    <phoneticPr fontId="1" type="noConversion"/>
  </si>
  <si>
    <t>가계</t>
    <phoneticPr fontId="1" type="noConversion"/>
  </si>
  <si>
    <t>간접세</t>
    <phoneticPr fontId="1" type="noConversion"/>
  </si>
  <si>
    <t>총계</t>
    <phoneticPr fontId="1" type="noConversion"/>
  </si>
  <si>
    <t>가계1</t>
    <phoneticPr fontId="1" type="noConversion"/>
  </si>
  <si>
    <t>가계2</t>
  </si>
  <si>
    <t>가계2</t>
    <phoneticPr fontId="1" type="noConversion"/>
  </si>
  <si>
    <t>가계3</t>
  </si>
  <si>
    <t>가계3</t>
    <phoneticPr fontId="1" type="noConversion"/>
  </si>
  <si>
    <t>가계4</t>
  </si>
  <si>
    <t>가계4</t>
    <phoneticPr fontId="1" type="noConversion"/>
  </si>
  <si>
    <t>가계5</t>
  </si>
  <si>
    <t>가계5</t>
    <phoneticPr fontId="1" type="noConversion"/>
  </si>
  <si>
    <t>노동1</t>
    <phoneticPr fontId="1" type="noConversion"/>
  </si>
  <si>
    <t>노동2</t>
    <phoneticPr fontId="1" type="noConversion"/>
  </si>
  <si>
    <t>대분류</t>
    <phoneticPr fontId="1" type="noConversion"/>
  </si>
  <si>
    <t xml:space="preserve"> 저숙련노동(Unskilled,USK)</t>
  </si>
  <si>
    <t>석탄.석유.화학제품.의약품</t>
    <phoneticPr fontId="1" type="noConversion"/>
  </si>
  <si>
    <t>비금속광물.1차금속.금속가공제품</t>
    <phoneticPr fontId="1" type="noConversion"/>
  </si>
  <si>
    <t>기계장비</t>
    <phoneticPr fontId="1" type="noConversion"/>
  </si>
  <si>
    <t>기타제조.임가공 및 산업용 장비수리업</t>
    <phoneticPr fontId="1" type="noConversion"/>
  </si>
  <si>
    <t>전력가스중기.공기조절 공급업</t>
    <phoneticPr fontId="1" type="noConversion"/>
  </si>
  <si>
    <t>도소매업 및 상품중개업</t>
    <phoneticPr fontId="1" type="noConversion"/>
  </si>
  <si>
    <t>숙박 및 음식점업</t>
    <phoneticPr fontId="1" type="noConversion"/>
  </si>
  <si>
    <t>금융.보험 및 부동산업</t>
    <phoneticPr fontId="1" type="noConversion"/>
  </si>
  <si>
    <t>전문.과학.기술 서비스 및 연구개발업</t>
    <phoneticPr fontId="1" type="noConversion"/>
  </si>
  <si>
    <t>사업지원서비스업</t>
    <phoneticPr fontId="1" type="noConversion"/>
  </si>
  <si>
    <t>공공행정.국방.사회보장 및 교육.의료.보건.사회복지</t>
    <phoneticPr fontId="1" type="noConversion"/>
  </si>
  <si>
    <t>예술.스포츠.여가관련업 및 기타 서비스</t>
    <phoneticPr fontId="1" type="noConversion"/>
  </si>
  <si>
    <t>공간정보사업</t>
    <phoneticPr fontId="1" type="noConversion"/>
  </si>
  <si>
    <t>주 : 강승규 127페이지, 154페이지</t>
    <phoneticPr fontId="1" type="noConversion"/>
  </si>
  <si>
    <t>중분류</t>
    <phoneticPr fontId="1" type="noConversion"/>
  </si>
  <si>
    <t>숙련노동(Skilled,SK)</t>
    <phoneticPr fontId="1" type="noConversion"/>
  </si>
  <si>
    <t>농림수산업</t>
    <phoneticPr fontId="1" type="noConversion"/>
  </si>
  <si>
    <t>저숙련노동비중</t>
    <phoneticPr fontId="1" type="noConversion"/>
  </si>
  <si>
    <t>숙련노동비중</t>
    <phoneticPr fontId="1" type="noConversion"/>
  </si>
  <si>
    <t xml:space="preserve"> 저숙련노동(Unskilled,USK)</t>
    <phoneticPr fontId="1" type="noConversion"/>
  </si>
  <si>
    <t>숙련노동(Skilled,SK)</t>
    <phoneticPr fontId="1" type="noConversion"/>
  </si>
  <si>
    <t>농림수산광업</t>
    <phoneticPr fontId="1" type="noConversion"/>
  </si>
  <si>
    <t>광업</t>
    <phoneticPr fontId="1" type="noConversion"/>
  </si>
  <si>
    <t>음식료품</t>
    <phoneticPr fontId="1" type="noConversion"/>
  </si>
  <si>
    <t>섬유.가죽제품,목재.종이제품 및 인쇄업</t>
    <phoneticPr fontId="1" type="noConversion"/>
  </si>
  <si>
    <t>컴퓨터.전자부품.광학기기.전기장비</t>
    <phoneticPr fontId="1" type="noConversion"/>
  </si>
  <si>
    <t>운송장비</t>
    <phoneticPr fontId="1" type="noConversion"/>
  </si>
  <si>
    <t>제조업</t>
    <phoneticPr fontId="1" type="noConversion"/>
  </si>
  <si>
    <t>수도.하수.폐기물처리.원료재생업</t>
    <phoneticPr fontId="1" type="noConversion"/>
  </si>
  <si>
    <t>건설업</t>
    <phoneticPr fontId="1" type="noConversion"/>
  </si>
  <si>
    <t>운수업</t>
    <phoneticPr fontId="1" type="noConversion"/>
  </si>
  <si>
    <t>정보통신 및 방송업</t>
    <phoneticPr fontId="1" type="noConversion"/>
  </si>
  <si>
    <t>서비스업</t>
    <phoneticPr fontId="1" type="noConversion"/>
  </si>
  <si>
    <t>가계1</t>
    <phoneticPr fontId="1" type="noConversion"/>
  </si>
  <si>
    <t>가계1</t>
    <phoneticPr fontId="1" type="noConversion"/>
  </si>
  <si>
    <t>SIT 자본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</si>
</sst>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-* #,##0_-;\-* #,##0_-;_-* &quot;-&quot;_-;_-@_-"/>
    <numFmt numFmtId="43" formatCode="_-* #,##0.00_-;\-* #,##0.00_-;_-* &quot;-&quot;??_-;_-@_-"/>
    <numFmt numFmtId="176" formatCode="0_ "/>
    <numFmt numFmtId="177" formatCode="#,##0_ "/>
    <numFmt numFmtId="178" formatCode="_-* #,##0.00_-;\-* #,##0.00_-;_-* &quot;-&quot;_-;_-@_-"/>
    <numFmt numFmtId="179" formatCode="_-* #,##0_-;\-* #,##0_-;_-* &quot;-&quot;??_-;_-@_-"/>
    <numFmt numFmtId="180" formatCode="0.0"/>
  </numFmts>
  <fonts count="2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2"/>
      <color rgb="FFFF000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2"/>
      <color rgb="FF00B05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12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00B050"/>
      <name val="맑은 고딕"/>
      <family val="3"/>
      <charset val="129"/>
      <scheme val="minor"/>
    </font>
    <font>
      <sz val="12"/>
      <color rgb="FF7030A0"/>
      <name val="맑은 고딕"/>
      <family val="2"/>
      <charset val="129"/>
      <scheme val="minor"/>
    </font>
    <font>
      <sz val="12"/>
      <color rgb="FF7030A0"/>
      <name val="맑은 고딕"/>
      <family val="3"/>
      <charset val="129"/>
      <scheme val="minor"/>
    </font>
    <font>
      <sz val="12"/>
      <color rgb="FFC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0" borderId="0"/>
  </cellStyleXfs>
  <cellXfs count="127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3" fontId="2" fillId="0" borderId="0" xfId="0" applyNumberFormat="1" applyFont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3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177" fontId="0" fillId="0" borderId="1" xfId="0" applyNumberFormat="1" applyBorder="1" applyAlignment="1"/>
    <xf numFmtId="177" fontId="0" fillId="2" borderId="1" xfId="0" applyNumberFormat="1" applyFill="1" applyBorder="1">
      <alignment vertical="center"/>
    </xf>
    <xf numFmtId="2" fontId="0" fillId="0" borderId="0" xfId="0" applyNumberFormat="1">
      <alignment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41" fontId="5" fillId="0" borderId="0" xfId="1" applyFont="1">
      <alignment vertical="center"/>
    </xf>
    <xf numFmtId="41" fontId="0" fillId="0" borderId="0" xfId="0" applyNumberFormat="1">
      <alignment vertical="center"/>
    </xf>
    <xf numFmtId="41" fontId="3" fillId="0" borderId="0" xfId="0" applyNumberFormat="1" applyFont="1">
      <alignment vertical="center"/>
    </xf>
    <xf numFmtId="41" fontId="6" fillId="0" borderId="0" xfId="0" applyNumberFormat="1" applyFont="1">
      <alignment vertical="center"/>
    </xf>
    <xf numFmtId="178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41" fontId="3" fillId="0" borderId="0" xfId="1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  <xf numFmtId="3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9" fontId="5" fillId="0" borderId="0" xfId="0" applyNumberFormat="1" applyFont="1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horizontal="right"/>
    </xf>
    <xf numFmtId="41" fontId="3" fillId="0" borderId="0" xfId="0" applyNumberFormat="1" applyFont="1" applyAlignment="1"/>
    <xf numFmtId="0" fontId="3" fillId="0" borderId="0" xfId="0" applyFont="1" applyAlignment="1"/>
    <xf numFmtId="1" fontId="3" fillId="0" borderId="0" xfId="0" applyNumberFormat="1" applyFont="1">
      <alignment vertical="center"/>
    </xf>
    <xf numFmtId="0" fontId="5" fillId="0" borderId="0" xfId="0" applyFont="1" applyAlignment="1">
      <alignment horizontal="right"/>
    </xf>
    <xf numFmtId="3" fontId="0" fillId="0" borderId="0" xfId="0" applyNumberFormat="1" applyAlignment="1"/>
    <xf numFmtId="3" fontId="11" fillId="0" borderId="0" xfId="0" applyNumberFormat="1" applyFont="1" applyAlignment="1"/>
    <xf numFmtId="0" fontId="11" fillId="0" borderId="0" xfId="0" applyFont="1" applyAlignment="1"/>
    <xf numFmtId="3" fontId="0" fillId="0" borderId="0" xfId="0" applyNumberFormat="1">
      <alignment vertical="center"/>
    </xf>
    <xf numFmtId="3" fontId="3" fillId="0" borderId="0" xfId="0" applyNumberFormat="1" applyFont="1" applyAlignment="1"/>
    <xf numFmtId="41" fontId="3" fillId="0" borderId="0" xfId="1" applyFont="1" applyAlignment="1"/>
    <xf numFmtId="177" fontId="12" fillId="0" borderId="0" xfId="0" applyNumberFormat="1" applyFont="1">
      <alignment vertical="center"/>
    </xf>
    <xf numFmtId="41" fontId="0" fillId="0" borderId="0" xfId="1" applyFont="1" applyAlignment="1"/>
    <xf numFmtId="177" fontId="3" fillId="0" borderId="0" xfId="0" applyNumberFormat="1" applyFont="1">
      <alignment vertical="center"/>
    </xf>
    <xf numFmtId="41" fontId="5" fillId="0" borderId="0" xfId="1" applyFont="1" applyAlignment="1"/>
    <xf numFmtId="0" fontId="5" fillId="0" borderId="0" xfId="0" applyFont="1" applyAlignment="1"/>
    <xf numFmtId="0" fontId="5" fillId="0" borderId="1" xfId="0" applyFont="1" applyBorder="1">
      <alignment vertical="center"/>
    </xf>
    <xf numFmtId="0" fontId="10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1" fontId="11" fillId="0" borderId="0" xfId="1" applyFont="1" applyAlignment="1"/>
    <xf numFmtId="0" fontId="13" fillId="0" borderId="0" xfId="2"/>
    <xf numFmtId="0" fontId="14" fillId="0" borderId="1" xfId="2" applyFont="1" applyBorder="1" applyAlignment="1">
      <alignment horizontal="center" vertical="top"/>
    </xf>
    <xf numFmtId="0" fontId="14" fillId="0" borderId="11" xfId="2" applyFont="1" applyBorder="1" applyAlignment="1">
      <alignment horizontal="center" vertical="top"/>
    </xf>
    <xf numFmtId="177" fontId="13" fillId="0" borderId="0" xfId="2" applyNumberFormat="1"/>
    <xf numFmtId="0" fontId="14" fillId="0" borderId="1" xfId="2" applyFont="1" applyBorder="1" applyAlignment="1">
      <alignment horizontal="left" vertical="top"/>
    </xf>
    <xf numFmtId="177" fontId="13" fillId="0" borderId="0" xfId="2" applyNumberFormat="1" applyAlignment="1">
      <alignment horizontal="left"/>
    </xf>
    <xf numFmtId="0" fontId="15" fillId="0" borderId="0" xfId="0" applyFont="1">
      <alignment vertical="center"/>
    </xf>
    <xf numFmtId="177" fontId="16" fillId="0" borderId="0" xfId="2" applyNumberFormat="1" applyFo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>
      <alignment vertical="center"/>
    </xf>
    <xf numFmtId="179" fontId="0" fillId="0" borderId="0" xfId="0" applyNumberFormat="1">
      <alignment vertical="center"/>
    </xf>
    <xf numFmtId="3" fontId="17" fillId="0" borderId="0" xfId="0" applyNumberFormat="1" applyFont="1">
      <alignment vertical="center"/>
    </xf>
    <xf numFmtId="41" fontId="11" fillId="0" borderId="0" xfId="0" applyNumberFormat="1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41" fontId="11" fillId="3" borderId="0" xfId="0" applyNumberFormat="1" applyFont="1" applyFill="1">
      <alignment vertical="center"/>
    </xf>
    <xf numFmtId="0" fontId="14" fillId="0" borderId="1" xfId="0" applyFont="1" applyBorder="1" applyAlignment="1">
      <alignment horizontal="center" vertical="top"/>
    </xf>
    <xf numFmtId="179" fontId="3" fillId="0" borderId="0" xfId="0" applyNumberFormat="1" applyFont="1">
      <alignment vertical="center"/>
    </xf>
    <xf numFmtId="41" fontId="11" fillId="0" borderId="0" xfId="0" applyNumberFormat="1" applyFont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1" fontId="0" fillId="0" borderId="0" xfId="0" applyNumberFormat="1" applyAlignment="1"/>
    <xf numFmtId="41" fontId="20" fillId="0" borderId="0" xfId="0" applyNumberFormat="1" applyFont="1">
      <alignment vertical="center"/>
    </xf>
    <xf numFmtId="41" fontId="18" fillId="0" borderId="0" xfId="0" applyNumberFormat="1" applyFont="1" applyAlignment="1"/>
    <xf numFmtId="3" fontId="18" fillId="0" borderId="0" xfId="0" applyNumberFormat="1" applyFont="1" applyAlignment="1"/>
    <xf numFmtId="0" fontId="18" fillId="0" borderId="0" xfId="0" applyFont="1" applyAlignment="1"/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41" fontId="18" fillId="0" borderId="0" xfId="1" applyFont="1">
      <alignment vertical="center"/>
    </xf>
    <xf numFmtId="177" fontId="19" fillId="0" borderId="0" xfId="0" applyNumberFormat="1" applyFont="1">
      <alignment vertical="center"/>
    </xf>
    <xf numFmtId="41" fontId="19" fillId="0" borderId="0" xfId="1" applyFont="1" applyAlignment="1"/>
    <xf numFmtId="177" fontId="3" fillId="0" borderId="1" xfId="0" applyNumberFormat="1" applyFont="1" applyBorder="1" applyAlignment="1"/>
    <xf numFmtId="41" fontId="18" fillId="0" borderId="0" xfId="1" applyFont="1" applyAlignment="1"/>
    <xf numFmtId="177" fontId="0" fillId="0" borderId="0" xfId="0" applyNumberFormat="1" applyAlignment="1"/>
    <xf numFmtId="177" fontId="18" fillId="0" borderId="0" xfId="0" applyNumberFormat="1" applyFont="1" applyAlignment="1"/>
    <xf numFmtId="41" fontId="18" fillId="4" borderId="0" xfId="1" applyFont="1" applyFill="1">
      <alignment vertical="center"/>
    </xf>
    <xf numFmtId="177" fontId="0" fillId="4" borderId="0" xfId="0" applyNumberFormat="1" applyFill="1" applyAlignment="1"/>
    <xf numFmtId="3" fontId="18" fillId="4" borderId="0" xfId="0" applyNumberFormat="1" applyFont="1" applyFill="1" applyAlignment="1"/>
    <xf numFmtId="0" fontId="22" fillId="0" borderId="0" xfId="0" applyFont="1">
      <alignment vertical="center"/>
    </xf>
    <xf numFmtId="180" fontId="22" fillId="0" borderId="0" xfId="0" applyNumberFormat="1" applyFont="1">
      <alignment vertical="center"/>
    </xf>
    <xf numFmtId="0" fontId="21" fillId="0" borderId="0" xfId="0" applyFont="1">
      <alignment vertical="center"/>
    </xf>
    <xf numFmtId="0" fontId="16" fillId="0" borderId="0" xfId="0" applyFont="1">
      <alignment vertical="center"/>
    </xf>
    <xf numFmtId="180" fontId="16" fillId="0" borderId="0" xfId="0" applyNumberFormat="1" applyFont="1">
      <alignment vertical="center"/>
    </xf>
    <xf numFmtId="180" fontId="0" fillId="0" borderId="0" xfId="0" applyNumberFormat="1">
      <alignment vertical="center"/>
    </xf>
    <xf numFmtId="180" fontId="0" fillId="0" borderId="0" xfId="0" applyNumberFormat="1" applyFill="1" applyBorder="1">
      <alignment vertical="center"/>
    </xf>
    <xf numFmtId="180" fontId="3" fillId="0" borderId="0" xfId="0" applyNumberFormat="1" applyFont="1">
      <alignment vertical="center"/>
    </xf>
    <xf numFmtId="1" fontId="0" fillId="0" borderId="0" xfId="0" applyNumberFormat="1">
      <alignment vertical="center"/>
    </xf>
    <xf numFmtId="177" fontId="18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9"/>
  <sheetViews>
    <sheetView tabSelected="1" topLeftCell="A8" zoomScale="85" zoomScaleNormal="85" workbookViewId="0">
      <selection activeCell="I22" sqref="I22"/>
    </sheetView>
  </sheetViews>
  <sheetFormatPr defaultRowHeight="17.25" x14ac:dyDescent="0.3"/>
  <cols>
    <col min="1" max="1" width="35.6640625" bestFit="1" customWidth="1"/>
    <col min="2" max="2" width="9" bestFit="1" customWidth="1"/>
    <col min="3" max="3" width="11.109375" bestFit="1" customWidth="1"/>
    <col min="4" max="4" width="10.77734375" bestFit="1" customWidth="1"/>
    <col min="5" max="23" width="9" bestFit="1" customWidth="1"/>
    <col min="24" max="24" width="9" customWidth="1"/>
    <col min="25" max="25" width="9" bestFit="1" customWidth="1"/>
    <col min="26" max="26" width="11.109375" bestFit="1" customWidth="1"/>
    <col min="27" max="27" width="10.77734375" bestFit="1" customWidth="1"/>
    <col min="28" max="31" width="10.77734375" customWidth="1"/>
    <col min="32" max="33" width="9" bestFit="1" customWidth="1"/>
    <col min="34" max="34" width="17.6640625" customWidth="1"/>
    <col min="35" max="40" width="9" bestFit="1" customWidth="1"/>
    <col min="41" max="41" width="10" bestFit="1" customWidth="1"/>
    <col min="42" max="42" width="10.77734375" bestFit="1" customWidth="1"/>
  </cols>
  <sheetData>
    <row r="1" spans="1:42" x14ac:dyDescent="0.3">
      <c r="A1" s="82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242</v>
      </c>
      <c r="X1" s="1" t="s">
        <v>243</v>
      </c>
      <c r="Y1" s="1" t="s">
        <v>4</v>
      </c>
      <c r="Z1" s="1" t="s">
        <v>281</v>
      </c>
      <c r="AA1" s="1" t="s">
        <v>279</v>
      </c>
      <c r="AB1" s="1" t="s">
        <v>234</v>
      </c>
      <c r="AC1" s="1" t="s">
        <v>236</v>
      </c>
      <c r="AD1" s="1" t="s">
        <v>238</v>
      </c>
      <c r="AE1" s="1" t="s">
        <v>240</v>
      </c>
      <c r="AF1" s="1" t="s">
        <v>7</v>
      </c>
      <c r="AG1" s="1" t="s">
        <v>8</v>
      </c>
      <c r="AH1" s="1" t="s">
        <v>9</v>
      </c>
      <c r="AI1" s="1" t="s">
        <v>223</v>
      </c>
      <c r="AJ1" s="1" t="s">
        <v>12</v>
      </c>
      <c r="AK1" s="1" t="s">
        <v>13</v>
      </c>
      <c r="AL1" s="1" t="s">
        <v>14</v>
      </c>
      <c r="AM1" s="1" t="s">
        <v>226</v>
      </c>
      <c r="AN1" s="1" t="s">
        <v>15</v>
      </c>
      <c r="AO1" s="1" t="s">
        <v>16</v>
      </c>
      <c r="AP1" s="81"/>
    </row>
    <row r="2" spans="1:42" x14ac:dyDescent="0.3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/>
      <c r="AA2" s="109">
        <f>PEP노동및자본국산초기21개!B2</f>
        <v>270.07313639001745</v>
      </c>
      <c r="AB2" s="109">
        <f>PEP노동및자본국산초기21개!C2</f>
        <v>1302.2057869994196</v>
      </c>
      <c r="AC2" s="109">
        <f>PEP노동및자본국산초기21개!D2</f>
        <v>2642.1840406268138</v>
      </c>
      <c r="AD2" s="109">
        <f>PEP노동및자본국산초기21개!E2</f>
        <v>4539.3061770168315</v>
      </c>
      <c r="AE2" s="109">
        <f>PEP노동및자본국산초기21개!F2</f>
        <v>9143.769858966918</v>
      </c>
      <c r="AF2" s="4"/>
      <c r="AG2" s="4">
        <v>0</v>
      </c>
      <c r="AH2" s="4">
        <v>384.49400000000003</v>
      </c>
      <c r="AI2" s="4"/>
      <c r="AJ2" s="4"/>
      <c r="AK2" s="4"/>
      <c r="AL2" s="4"/>
      <c r="AM2" s="4"/>
      <c r="AN2" s="4">
        <v>1080.9490000000001</v>
      </c>
      <c r="AO2" s="4"/>
      <c r="AP2" s="4">
        <f t="shared" ref="AP2:AP41" si="0">SUM(B2:AO2)</f>
        <v>66692.468000000008</v>
      </c>
    </row>
    <row r="3" spans="1:42" x14ac:dyDescent="0.3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/>
      <c r="AA3" s="109">
        <f>PEP노동및자본국산초기21개!B3</f>
        <v>0.23048403946604756</v>
      </c>
      <c r="AB3" s="109">
        <f>PEP노동및자본국산초기21개!C3</f>
        <v>1.1113198965862923</v>
      </c>
      <c r="AC3" s="109">
        <f>PEP노동및자본국산초기21개!D3</f>
        <v>2.2548753231678358</v>
      </c>
      <c r="AD3" s="109">
        <f>PEP노동및자본국산초기21개!E3</f>
        <v>3.8739048171793389</v>
      </c>
      <c r="AE3" s="109">
        <f>PEP노동및자본국산초기21개!F3</f>
        <v>7.8034159236004834</v>
      </c>
      <c r="AF3" s="4"/>
      <c r="AG3" s="4">
        <v>0</v>
      </c>
      <c r="AH3" s="4">
        <v>1989.682</v>
      </c>
      <c r="AI3" s="4"/>
      <c r="AJ3" s="4"/>
      <c r="AK3" s="4"/>
      <c r="AL3" s="4"/>
      <c r="AM3" s="4"/>
      <c r="AN3" s="4">
        <v>112.92700000000001</v>
      </c>
      <c r="AO3" s="4"/>
      <c r="AP3" s="4">
        <f t="shared" si="0"/>
        <v>6468.3619999999992</v>
      </c>
    </row>
    <row r="4" spans="1:42" x14ac:dyDescent="0.3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/>
      <c r="AA4" s="109">
        <f>PEP노동및자본국산초기21개!B4</f>
        <v>3225.8931406120719</v>
      </c>
      <c r="AB4" s="109">
        <f>PEP노동및자본국산초기21개!C4</f>
        <v>15554.219024140022</v>
      </c>
      <c r="AC4" s="109">
        <f>PEP노동및자본국산초기21개!D4</f>
        <v>31559.611914099914</v>
      </c>
      <c r="AD4" s="109">
        <f>PEP노동및자본국산초기21개!E4</f>
        <v>54219.819324902914</v>
      </c>
      <c r="AE4" s="109">
        <f>PEP노동및자본국산초기21개!F4</f>
        <v>109217.91356834507</v>
      </c>
      <c r="AF4" s="4"/>
      <c r="AG4" s="4">
        <v>0</v>
      </c>
      <c r="AH4" s="4">
        <v>163215.9600017</v>
      </c>
      <c r="AI4" s="4"/>
      <c r="AJ4" s="4"/>
      <c r="AK4" s="4"/>
      <c r="AL4" s="4"/>
      <c r="AM4" s="4"/>
      <c r="AN4" s="4">
        <v>621764.05098910001</v>
      </c>
      <c r="AO4" s="4"/>
      <c r="AP4" s="4">
        <f t="shared" si="0"/>
        <v>1934621.8735221003</v>
      </c>
    </row>
    <row r="5" spans="1:42" x14ac:dyDescent="0.3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/>
      <c r="AA5" s="109">
        <f>PEP노동및자본국산초기21개!B5</f>
        <v>851.56255216715033</v>
      </c>
      <c r="AB5" s="109">
        <f>PEP노동및자본국산초기21개!C5</f>
        <v>4105.960697337413</v>
      </c>
      <c r="AC5" s="109">
        <f>PEP노동및자본국산초기21개!D5</f>
        <v>8331.0210523205824</v>
      </c>
      <c r="AD5" s="109">
        <f>PEP노동및자본국산초기21개!E5</f>
        <v>14312.801357578644</v>
      </c>
      <c r="AE5" s="109">
        <f>PEP노동및자본국산초기21개!F5</f>
        <v>28831.049624596209</v>
      </c>
      <c r="AF5" s="4"/>
      <c r="AG5" s="4">
        <v>0</v>
      </c>
      <c r="AH5" s="4">
        <v>9516.1853579999988</v>
      </c>
      <c r="AI5" s="4"/>
      <c r="AJ5" s="4"/>
      <c r="AK5" s="4"/>
      <c r="AL5" s="4"/>
      <c r="AM5" s="4"/>
      <c r="AN5" s="4">
        <v>22379.124206</v>
      </c>
      <c r="AO5" s="4"/>
      <c r="AP5" s="4">
        <f t="shared" si="0"/>
        <v>176748.366783</v>
      </c>
    </row>
    <row r="6" spans="1:42" x14ac:dyDescent="0.3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/>
      <c r="AA6" s="109">
        <f>PEP노동및자본국산초기21개!B6</f>
        <v>341.35531282646548</v>
      </c>
      <c r="AB6" s="109">
        <f>PEP노동및자본국산초기21개!C6</f>
        <v>1645.9055118450904</v>
      </c>
      <c r="AC6" s="109">
        <f>PEP노동및자본국산초기21개!D6</f>
        <v>3339.5530254840919</v>
      </c>
      <c r="AD6" s="109">
        <f>PEP노동및자본국산초기21개!E6</f>
        <v>5737.395065583285</v>
      </c>
      <c r="AE6" s="109">
        <f>PEP노동및자본국산초기21개!F6</f>
        <v>11557.145084261065</v>
      </c>
      <c r="AF6" s="4"/>
      <c r="AG6" s="4">
        <v>1009.391</v>
      </c>
      <c r="AH6" s="4">
        <v>0</v>
      </c>
      <c r="AI6" s="4"/>
      <c r="AJ6" s="4"/>
      <c r="AK6" s="4"/>
      <c r="AL6" s="4"/>
      <c r="AM6" s="4"/>
      <c r="AN6" s="4">
        <v>1108.335</v>
      </c>
      <c r="AO6" s="4"/>
      <c r="AP6" s="4">
        <f t="shared" si="0"/>
        <v>121254.18500000001</v>
      </c>
    </row>
    <row r="7" spans="1:42" x14ac:dyDescent="0.3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/>
      <c r="AA7" s="109">
        <f>PEP노동및자본국산초기21개!B7</f>
        <v>0</v>
      </c>
      <c r="AB7" s="109">
        <f>PEP노동및자본국산초기21개!C7</f>
        <v>0</v>
      </c>
      <c r="AC7" s="109">
        <f>PEP노동및자본국산초기21개!D7</f>
        <v>0</v>
      </c>
      <c r="AD7" s="109">
        <f>PEP노동및자본국산초기21개!E7</f>
        <v>0</v>
      </c>
      <c r="AE7" s="109">
        <f>PEP노동및자본국산초기21개!F7</f>
        <v>0</v>
      </c>
      <c r="AF7" s="4"/>
      <c r="AG7" s="4">
        <v>0</v>
      </c>
      <c r="AH7" s="4">
        <v>260546.71799999999</v>
      </c>
      <c r="AI7" s="4"/>
      <c r="AJ7" s="4"/>
      <c r="AK7" s="4"/>
      <c r="AL7" s="4"/>
      <c r="AM7" s="4"/>
      <c r="AN7" s="4">
        <v>192.596</v>
      </c>
      <c r="AO7" s="4"/>
      <c r="AP7" s="4">
        <f t="shared" si="0"/>
        <v>275171.24600000004</v>
      </c>
    </row>
    <row r="8" spans="1:42" x14ac:dyDescent="0.3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/>
      <c r="AA8" s="109">
        <f>PEP노동및자본국산초기21개!B8</f>
        <v>458.20438305281488</v>
      </c>
      <c r="AB8" s="109">
        <f>PEP노동및자본국산초기21개!C8</f>
        <v>2209.3141406637469</v>
      </c>
      <c r="AC8" s="109">
        <f>PEP노동및자본국산초기21개!D8</f>
        <v>4482.7128104257899</v>
      </c>
      <c r="AD8" s="109">
        <f>PEP노동및자본국산초기21개!E8</f>
        <v>7701.3582843876966</v>
      </c>
      <c r="AE8" s="109">
        <f>PEP노동및자본국산초기21개!F8</f>
        <v>15513.262381469949</v>
      </c>
      <c r="AF8" s="4"/>
      <c r="AG8" s="4">
        <v>0</v>
      </c>
      <c r="AH8" s="4">
        <v>683.36199999999997</v>
      </c>
      <c r="AI8" s="4"/>
      <c r="AJ8" s="4"/>
      <c r="AK8" s="4"/>
      <c r="AL8" s="4"/>
      <c r="AM8" s="4"/>
      <c r="AN8" s="4">
        <v>34489.231</v>
      </c>
      <c r="AO8" s="4"/>
      <c r="AP8" s="4">
        <f t="shared" si="0"/>
        <v>164675.00499999998</v>
      </c>
    </row>
    <row r="9" spans="1:42" x14ac:dyDescent="0.3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/>
      <c r="AA9" s="109">
        <f>PEP노동및자본국산초기21개!B9</f>
        <v>1564.7224631456763</v>
      </c>
      <c r="AB9" s="109">
        <f>PEP노동및자본국산초기21개!C9</f>
        <v>7544.5883799926123</v>
      </c>
      <c r="AC9" s="109">
        <f>PEP노동및자본국산초기21개!D9</f>
        <v>15308.019062523083</v>
      </c>
      <c r="AD9" s="109">
        <f>PEP노동및자본국산초기21개!E9</f>
        <v>26299.373707486946</v>
      </c>
      <c r="AE9" s="109">
        <f>PEP노동및자본국산초기21개!F9</f>
        <v>52976.25038685168</v>
      </c>
      <c r="AF9" s="4"/>
      <c r="AG9" s="4">
        <v>0</v>
      </c>
      <c r="AH9" s="4">
        <v>0</v>
      </c>
      <c r="AI9" s="4"/>
      <c r="AJ9" s="4"/>
      <c r="AK9" s="4"/>
      <c r="AL9" s="4"/>
      <c r="AM9" s="4"/>
      <c r="AN9" s="4">
        <v>11206.638000000001</v>
      </c>
      <c r="AO9" s="4"/>
      <c r="AP9" s="4">
        <f t="shared" si="0"/>
        <v>188263.799</v>
      </c>
    </row>
    <row r="10" spans="1:42" x14ac:dyDescent="0.3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/>
      <c r="AA10" s="109">
        <f>PEP노동및자본국산초기21개!B10</f>
        <v>497.77873864979688</v>
      </c>
      <c r="AB10" s="109">
        <f>PEP노동및자본국산초기21개!C10</f>
        <v>2400.1289531401039</v>
      </c>
      <c r="AC10" s="109">
        <f>PEP노동및자본국산초기21개!D10</f>
        <v>4869.8773102871728</v>
      </c>
      <c r="AD10" s="109">
        <f>PEP노동및자본국산초기21개!E10</f>
        <v>8366.5118765369716</v>
      </c>
      <c r="AE10" s="109">
        <f>PEP노동및자본국산초기21개!F10</f>
        <v>16853.117224985952</v>
      </c>
      <c r="AF10" s="4"/>
      <c r="AG10" s="4">
        <v>0</v>
      </c>
      <c r="AH10" s="4">
        <v>19334.0520894</v>
      </c>
      <c r="AI10" s="4"/>
      <c r="AJ10" s="4"/>
      <c r="AK10" s="4"/>
      <c r="AL10" s="4"/>
      <c r="AM10" s="4"/>
      <c r="AN10" s="4">
        <v>8162.4795921999994</v>
      </c>
      <c r="AO10" s="4"/>
      <c r="AP10" s="4">
        <f t="shared" si="0"/>
        <v>119801.93171380002</v>
      </c>
    </row>
    <row r="11" spans="1:42" x14ac:dyDescent="0.3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/>
      <c r="AA11" s="109">
        <f>PEP노동및자본국산초기21개!B11</f>
        <v>1118.3989483459084</v>
      </c>
      <c r="AB11" s="109">
        <f>PEP노동및자본국산초기21개!C11</f>
        <v>5392.5599642272982</v>
      </c>
      <c r="AC11" s="109">
        <f>PEP노동및자본국산초기21개!D11</f>
        <v>10941.53936178969</v>
      </c>
      <c r="AD11" s="109">
        <f>PEP노동및자본국산초기21개!E11</f>
        <v>18797.705401044692</v>
      </c>
      <c r="AE11" s="109">
        <f>PEP노동및자본국산초기21개!F11</f>
        <v>37865.234324592406</v>
      </c>
      <c r="AF11" s="4"/>
      <c r="AG11" s="4">
        <v>0</v>
      </c>
      <c r="AH11" s="4">
        <v>0</v>
      </c>
      <c r="AI11" s="4"/>
      <c r="AJ11" s="4"/>
      <c r="AK11" s="4"/>
      <c r="AL11" s="4"/>
      <c r="AM11" s="4"/>
      <c r="AN11" s="4">
        <v>4694.4139999999998</v>
      </c>
      <c r="AO11" s="4"/>
      <c r="AP11" s="4">
        <f t="shared" si="0"/>
        <v>185422.64699999997</v>
      </c>
    </row>
    <row r="12" spans="1:42" x14ac:dyDescent="0.3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/>
      <c r="AA12" s="109">
        <f>PEP노동및자본국산초기21개!B12</f>
        <v>1991.4282159024958</v>
      </c>
      <c r="AB12" s="109">
        <f>PEP노동및자본국산초기21개!C12</f>
        <v>9602.0262577955982</v>
      </c>
      <c r="AC12" s="109">
        <f>PEP노동및자본국산초기21개!D12</f>
        <v>19482.573944388751</v>
      </c>
      <c r="AD12" s="109">
        <f>PEP노동및자본국산초기21개!E12</f>
        <v>33471.312705745797</v>
      </c>
      <c r="AE12" s="109">
        <f>PEP노동및자본국산초기21개!F12</f>
        <v>67423.07487616736</v>
      </c>
      <c r="AF12" s="4"/>
      <c r="AG12" s="4">
        <v>0</v>
      </c>
      <c r="AH12" s="4">
        <v>31020.904999999999</v>
      </c>
      <c r="AI12" s="4"/>
      <c r="AJ12" s="4"/>
      <c r="AK12" s="4"/>
      <c r="AL12" s="4"/>
      <c r="AM12" s="4"/>
      <c r="AN12" s="4">
        <v>366.53699999999998</v>
      </c>
      <c r="AO12" s="4"/>
      <c r="AP12" s="4">
        <f t="shared" si="0"/>
        <v>230695.64600000004</v>
      </c>
    </row>
    <row r="13" spans="1:42" x14ac:dyDescent="0.3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/>
      <c r="AA13" s="109">
        <f>PEP노동및자본국산초기21개!B13</f>
        <v>143.51663420266976</v>
      </c>
      <c r="AB13" s="109">
        <f>PEP노동및자본국산초기21개!C13</f>
        <v>691.99104393525033</v>
      </c>
      <c r="AC13" s="109">
        <f>PEP노동및자본국산초기21개!D13</f>
        <v>1404.0543444023426</v>
      </c>
      <c r="AD13" s="109">
        <f>PEP노동및자본국산초기21개!E13</f>
        <v>2412.1834287141037</v>
      </c>
      <c r="AE13" s="109">
        <f>PEP노동및자본국산초기21개!F13</f>
        <v>4858.9914999456341</v>
      </c>
      <c r="AF13" s="4"/>
      <c r="AG13" s="4">
        <v>0</v>
      </c>
      <c r="AH13" s="4">
        <v>78578.603039599999</v>
      </c>
      <c r="AI13" s="4"/>
      <c r="AJ13" s="4"/>
      <c r="AK13" s="4"/>
      <c r="AL13" s="4"/>
      <c r="AM13" s="4"/>
      <c r="AN13" s="4">
        <v>27312.970383600001</v>
      </c>
      <c r="AO13" s="4"/>
      <c r="AP13" s="4">
        <f t="shared" si="0"/>
        <v>304627.80582840001</v>
      </c>
    </row>
    <row r="14" spans="1:42" x14ac:dyDescent="0.3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/>
      <c r="AA14" s="109">
        <f>PEP노동및자본국산초기21개!B14</f>
        <v>35.358294834590829</v>
      </c>
      <c r="AB14" s="109">
        <f>PEP노동및자본국산초기21개!C14</f>
        <v>170.48632369545717</v>
      </c>
      <c r="AC14" s="109">
        <f>PEP노동및자본국산초기21개!D14</f>
        <v>345.91786345169623</v>
      </c>
      <c r="AD14" s="109">
        <f>PEP노동및자본국산초기21개!E14</f>
        <v>594.29134010446899</v>
      </c>
      <c r="AE14" s="109">
        <f>PEP노동및자본국산초기21개!F14</f>
        <v>1197.1131779137866</v>
      </c>
      <c r="AF14" s="4"/>
      <c r="AG14" s="4">
        <v>154168.83600000001</v>
      </c>
      <c r="AH14" s="4">
        <v>0</v>
      </c>
      <c r="AI14" s="4"/>
      <c r="AJ14" s="4"/>
      <c r="AK14" s="4"/>
      <c r="AL14" s="4"/>
      <c r="AM14" s="4"/>
      <c r="AN14" s="4">
        <v>34.634</v>
      </c>
      <c r="AO14" s="4"/>
      <c r="AP14" s="4">
        <f t="shared" si="0"/>
        <v>159394.38399999999</v>
      </c>
    </row>
    <row r="15" spans="1:42" x14ac:dyDescent="0.3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/>
      <c r="AA15" s="109">
        <f>PEP노동및자본국산초기21개!B15</f>
        <v>893.50327916424851</v>
      </c>
      <c r="AB15" s="109">
        <f>PEP노동및자본국산초기21개!C15</f>
        <v>4308.1853914947496</v>
      </c>
      <c r="AC15" s="109">
        <f>PEP노동및자본국산초기21개!D15</f>
        <v>8741.3362765789061</v>
      </c>
      <c r="AD15" s="109">
        <f>PEP노동및자본국산초기21개!E15</f>
        <v>15017.728192106793</v>
      </c>
      <c r="AE15" s="109">
        <f>PEP노동및자본국산초기21개!F15</f>
        <v>30251.021860655303</v>
      </c>
      <c r="AF15" s="4"/>
      <c r="AG15" s="4">
        <v>70597.013000000006</v>
      </c>
      <c r="AH15" s="4">
        <v>0</v>
      </c>
      <c r="AI15" s="4"/>
      <c r="AJ15" s="4"/>
      <c r="AK15" s="4"/>
      <c r="AL15" s="4"/>
      <c r="AM15" s="4"/>
      <c r="AN15" s="4">
        <v>229.09</v>
      </c>
      <c r="AO15" s="4"/>
      <c r="AP15" s="4">
        <f t="shared" si="0"/>
        <v>132366.633</v>
      </c>
    </row>
    <row r="16" spans="1:42" x14ac:dyDescent="0.3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/>
      <c r="AA16" s="109">
        <f>PEP노동및자본국산초기21개!B16</f>
        <v>883.70269762042949</v>
      </c>
      <c r="AB16" s="109">
        <f>PEP노동및자본국산초기21개!C16</f>
        <v>4260.930139925078</v>
      </c>
      <c r="AC16" s="109">
        <f>PEP노동및자본국산초기21개!D16</f>
        <v>8645.4550627341323</v>
      </c>
      <c r="AD16" s="109">
        <f>PEP노동및자본국산초기21개!E16</f>
        <v>14853.003033081837</v>
      </c>
      <c r="AE16" s="109">
        <f>PEP노동및자본국산초기21개!F16</f>
        <v>29919.207066638526</v>
      </c>
      <c r="AF16" s="4"/>
      <c r="AG16" s="4">
        <v>100693.954</v>
      </c>
      <c r="AH16" s="4">
        <v>0</v>
      </c>
      <c r="AI16" s="4"/>
      <c r="AJ16" s="4"/>
      <c r="AK16" s="4"/>
      <c r="AL16" s="4"/>
      <c r="AM16" s="4"/>
      <c r="AN16" s="4">
        <v>847.43</v>
      </c>
      <c r="AO16" s="4"/>
      <c r="AP16" s="4">
        <f t="shared" si="0"/>
        <v>167750.666</v>
      </c>
    </row>
    <row r="17" spans="1:42" x14ac:dyDescent="0.3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/>
      <c r="AA17" s="109">
        <f>PEP노동및자본국산초기21개!B17</f>
        <v>1272.193098084736</v>
      </c>
      <c r="AB17" s="109">
        <f>PEP노동및자본국산초기21개!C17</f>
        <v>6134.1058820239532</v>
      </c>
      <c r="AC17" s="109">
        <f>PEP노동및자본국산초기21개!D17</f>
        <v>12446.140868675144</v>
      </c>
      <c r="AD17" s="109">
        <f>PEP노동및자본국산초기21개!E17</f>
        <v>21382.630148578068</v>
      </c>
      <c r="AE17" s="109">
        <f>PEP노동및자본국산초기21개!F17</f>
        <v>43072.188002638097</v>
      </c>
      <c r="AF17" s="4"/>
      <c r="AG17" s="4">
        <v>2193.9859999999999</v>
      </c>
      <c r="AH17" s="4">
        <v>674.22500000000002</v>
      </c>
      <c r="AI17" s="4"/>
      <c r="AJ17" s="4"/>
      <c r="AK17" s="4"/>
      <c r="AL17" s="4"/>
      <c r="AM17" s="4"/>
      <c r="AN17" s="4">
        <v>2093.6586407999998</v>
      </c>
      <c r="AO17" s="4"/>
      <c r="AP17" s="4">
        <f t="shared" si="0"/>
        <v>115642.37940960001</v>
      </c>
    </row>
    <row r="18" spans="1:42" x14ac:dyDescent="0.3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/>
      <c r="AA18" s="109">
        <f>PEP노동및자본국산초기21개!B18</f>
        <v>11.403935418107951</v>
      </c>
      <c r="AB18" s="109">
        <f>PEP노동및자본국산초기21개!C18</f>
        <v>54.986108187310712</v>
      </c>
      <c r="AC18" s="109">
        <f>PEP노동및자본국산초기21개!D18</f>
        <v>111.56717237715401</v>
      </c>
      <c r="AD18" s="109">
        <f>PEP노동및자본국산초기21개!E18</f>
        <v>191.67383760435288</v>
      </c>
      <c r="AE18" s="109">
        <f>PEP노동및자본국산초기21개!F18</f>
        <v>386.09897431307445</v>
      </c>
      <c r="AF18" s="4"/>
      <c r="AG18" s="4">
        <v>0</v>
      </c>
      <c r="AH18" s="1"/>
      <c r="AI18" s="4">
        <v>6855.9289983000008</v>
      </c>
      <c r="AJ18" s="4"/>
      <c r="AK18" s="4"/>
      <c r="AL18" s="4"/>
      <c r="AM18" s="4"/>
      <c r="AN18" s="4">
        <v>5672.7650109000006</v>
      </c>
      <c r="AO18" s="4"/>
      <c r="AP18" s="4">
        <f t="shared" si="0"/>
        <v>28800.360477899994</v>
      </c>
    </row>
    <row r="19" spans="1:42" x14ac:dyDescent="0.3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/>
      <c r="AA19" s="109">
        <f>PEP노동및자본국산초기21개!B19</f>
        <v>524.14431724666281</v>
      </c>
      <c r="AB19" s="109">
        <f>PEP노동및자본국산초기21개!C19</f>
        <v>2527.2552918991187</v>
      </c>
      <c r="AC19" s="109">
        <f>PEP노동및자본국산초기21개!D19</f>
        <v>5127.8174813152536</v>
      </c>
      <c r="AD19" s="109">
        <f>PEP노동및자본국산초기21개!E19</f>
        <v>8809.6564091073724</v>
      </c>
      <c r="AE19" s="109">
        <f>PEP노동및자본국산초기21개!F19</f>
        <v>17745.767216431595</v>
      </c>
      <c r="AF19" s="4"/>
      <c r="AG19" s="4">
        <v>0</v>
      </c>
      <c r="AH19" s="1"/>
      <c r="AI19" s="4">
        <v>5857.2966419999993</v>
      </c>
      <c r="AJ19" s="4"/>
      <c r="AK19" s="4"/>
      <c r="AL19" s="4"/>
      <c r="AM19" s="4"/>
      <c r="AN19" s="4">
        <v>13774.549794</v>
      </c>
      <c r="AO19" s="4"/>
      <c r="AP19" s="4">
        <f t="shared" si="0"/>
        <v>108790.19021700001</v>
      </c>
    </row>
    <row r="20" spans="1:42" x14ac:dyDescent="0.3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/>
      <c r="AA20" s="109">
        <f>PEP노동및자본국산초기21개!B20</f>
        <v>35.084802847591412</v>
      </c>
      <c r="AB20" s="109">
        <f>PEP노동및자본국산초기21개!C20</f>
        <v>169.16763331058934</v>
      </c>
      <c r="AC20" s="109">
        <f>PEP노동및자본국산초기21개!D20</f>
        <v>343.24223205440825</v>
      </c>
      <c r="AD20" s="109">
        <f>PEP노동및자본국산초기21개!E20</f>
        <v>589.69457093836331</v>
      </c>
      <c r="AE20" s="109">
        <f>PEP노동및자본국산초기21개!F20</f>
        <v>1187.8536572490475</v>
      </c>
      <c r="AF20" s="4"/>
      <c r="AG20" s="4">
        <v>0</v>
      </c>
      <c r="AH20" s="1"/>
      <c r="AI20" s="4">
        <v>15446.0279106</v>
      </c>
      <c r="AJ20" s="4"/>
      <c r="AK20" s="4"/>
      <c r="AL20" s="4"/>
      <c r="AM20" s="4"/>
      <c r="AN20" s="4">
        <v>4249.5384077999997</v>
      </c>
      <c r="AO20" s="4"/>
      <c r="AP20" s="4">
        <f t="shared" si="0"/>
        <v>37289.520286200001</v>
      </c>
    </row>
    <row r="21" spans="1:42" x14ac:dyDescent="0.3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/>
      <c r="AA21" s="109">
        <f>PEP노동및자본국산초기21개!B21</f>
        <v>4.6482665518282067</v>
      </c>
      <c r="AB21" s="109">
        <f>PEP노동및자본국산초기21개!C21</f>
        <v>22.412446066332503</v>
      </c>
      <c r="AC21" s="109">
        <f>PEP노동및자본국산초기21개!D21</f>
        <v>45.474999342710909</v>
      </c>
      <c r="AD21" s="109">
        <f>PEP노동및자본국산초기21개!E21</f>
        <v>78.1266339672664</v>
      </c>
      <c r="AE21" s="109">
        <f>PEP노동및자본국산초기21개!F21</f>
        <v>157.37470287186196</v>
      </c>
      <c r="AF21" s="4"/>
      <c r="AG21" s="4">
        <v>0</v>
      </c>
      <c r="AH21" s="1"/>
      <c r="AI21" s="4">
        <v>12015.987960400002</v>
      </c>
      <c r="AJ21" s="4"/>
      <c r="AK21" s="4"/>
      <c r="AL21" s="4"/>
      <c r="AM21" s="4"/>
      <c r="AN21" s="4">
        <v>1830.8726164</v>
      </c>
      <c r="AO21" s="4"/>
      <c r="AP21" s="4">
        <f t="shared" si="0"/>
        <v>31972.066171599992</v>
      </c>
    </row>
    <row r="22" spans="1:42" x14ac:dyDescent="0.3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/>
      <c r="AA22" s="109">
        <f>PEP노동및자본국산초기21개!B22</f>
        <v>0</v>
      </c>
      <c r="AB22" s="109">
        <f>PEP노동및자본국산초기21개!C22</f>
        <v>0</v>
      </c>
      <c r="AC22" s="109">
        <f>PEP노동및자본국산초기21개!D22</f>
        <v>0</v>
      </c>
      <c r="AD22" s="109">
        <f>PEP노동및자본국산초기21개!E22</f>
        <v>0</v>
      </c>
      <c r="AE22" s="109">
        <f>PEP노동및자본국산초기21개!F22</f>
        <v>0</v>
      </c>
      <c r="AF22" s="4"/>
      <c r="AG22" s="4">
        <v>0</v>
      </c>
      <c r="AH22" s="4">
        <v>0</v>
      </c>
      <c r="AI22" s="4">
        <v>0</v>
      </c>
      <c r="AJ22" s="4"/>
      <c r="AK22" s="4"/>
      <c r="AL22" s="4"/>
      <c r="AM22" s="4"/>
      <c r="AN22" s="4">
        <v>0.21635919999999997</v>
      </c>
      <c r="AO22" s="4"/>
      <c r="AP22" s="4">
        <f t="shared" si="0"/>
        <v>3980.0625904000003</v>
      </c>
    </row>
    <row r="23" spans="1:42" x14ac:dyDescent="0.3">
      <c r="A23" s="1" t="s">
        <v>242</v>
      </c>
      <c r="B23" s="109">
        <v>5964.3379530000002</v>
      </c>
      <c r="C23" s="109">
        <v>642.0184680000001</v>
      </c>
      <c r="D23" s="109">
        <v>116420.22792528239</v>
      </c>
      <c r="E23" s="109">
        <v>29487.693421870001</v>
      </c>
      <c r="F23" s="109">
        <v>2947.3195900000005</v>
      </c>
      <c r="G23" s="109">
        <v>60213.885983999993</v>
      </c>
      <c r="H23" s="109">
        <v>24312.868308000001</v>
      </c>
      <c r="I23" s="109">
        <v>26989.35283</v>
      </c>
      <c r="J23" s="109">
        <v>4359.3033860739997</v>
      </c>
      <c r="K23" s="109">
        <v>17880.161226</v>
      </c>
      <c r="L23" s="109">
        <v>6445.8750300000002</v>
      </c>
      <c r="M23" s="109">
        <v>74556.607883788805</v>
      </c>
      <c r="N23" s="109">
        <v>23481.320785000004</v>
      </c>
      <c r="O23" s="109">
        <v>23955.489645000001</v>
      </c>
      <c r="P23" s="109">
        <v>19782.633669999999</v>
      </c>
      <c r="Q23" s="109">
        <v>16770.501212751202</v>
      </c>
      <c r="R23" s="109">
        <v>2344.3512667176001</v>
      </c>
      <c r="S23" s="109">
        <v>18149.93730813</v>
      </c>
      <c r="T23" s="109">
        <v>6511.7208798810016</v>
      </c>
      <c r="U23" s="109">
        <v>1771.7023360512001</v>
      </c>
      <c r="V23" s="109">
        <v>661.57634124879996</v>
      </c>
      <c r="W23" s="4"/>
      <c r="X23" s="4"/>
      <c r="Y23" s="4"/>
      <c r="Z23" s="4"/>
      <c r="AA23" s="109">
        <f>PEP노동및자본국산초기21개!B23</f>
        <v>0</v>
      </c>
      <c r="AB23" s="109">
        <f>PEP노동및자본국산초기21개!C23</f>
        <v>0</v>
      </c>
      <c r="AC23" s="109">
        <f>PEP노동및자본국산초기21개!D23</f>
        <v>0</v>
      </c>
      <c r="AD23" s="109">
        <f>PEP노동및자본국산초기21개!E23</f>
        <v>0</v>
      </c>
      <c r="AE23" s="109">
        <f>PEP노동및자본국산초기21개!F23</f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>
        <f t="shared" si="0"/>
        <v>483648.88545079506</v>
      </c>
    </row>
    <row r="24" spans="1:42" x14ac:dyDescent="0.3">
      <c r="A24" s="1" t="s">
        <v>243</v>
      </c>
      <c r="B24" s="109">
        <v>582.68504700000005</v>
      </c>
      <c r="C24" s="109">
        <v>223.23553200000003</v>
      </c>
      <c r="D24" s="109">
        <v>76328.493805317601</v>
      </c>
      <c r="E24" s="109">
        <v>20491.447971130001</v>
      </c>
      <c r="F24" s="109">
        <v>9867.1134099999999</v>
      </c>
      <c r="G24" s="109">
        <v>26300.318015999997</v>
      </c>
      <c r="H24" s="109">
        <v>8631.3976920000005</v>
      </c>
      <c r="I24" s="109">
        <v>7568.0771699999996</v>
      </c>
      <c r="J24" s="109">
        <v>19592.913020926</v>
      </c>
      <c r="K24" s="109">
        <v>26597.851773999999</v>
      </c>
      <c r="L24" s="109">
        <v>9588.6399700000002</v>
      </c>
      <c r="M24" s="109">
        <v>33028.684877811203</v>
      </c>
      <c r="N24" s="109">
        <v>53506.616215000002</v>
      </c>
      <c r="O24" s="109">
        <v>54587.099355000006</v>
      </c>
      <c r="P24" s="109">
        <v>45078.460330000002</v>
      </c>
      <c r="Q24" s="109">
        <v>10410.2138808488</v>
      </c>
      <c r="R24" s="109">
        <v>1537.0250026824003</v>
      </c>
      <c r="S24" s="109">
        <v>12612.668298870001</v>
      </c>
      <c r="T24" s="109">
        <v>4042.1217131190001</v>
      </c>
      <c r="U24" s="109">
        <v>8774.1449023488003</v>
      </c>
      <c r="V24" s="109">
        <v>410.67056515119992</v>
      </c>
      <c r="W24" s="4"/>
      <c r="X24" s="4"/>
      <c r="Y24" s="4"/>
      <c r="Z24" s="4"/>
      <c r="AA24" s="109">
        <f>PEP노동및자본국산초기21개!B24</f>
        <v>0</v>
      </c>
      <c r="AB24" s="109">
        <f>PEP노동및자본국산초기21개!C24</f>
        <v>0</v>
      </c>
      <c r="AC24" s="109">
        <f>PEP노동및자본국산초기21개!D24</f>
        <v>0</v>
      </c>
      <c r="AD24" s="109">
        <f>PEP노동및자본국산초기21개!E24</f>
        <v>0</v>
      </c>
      <c r="AE24" s="109">
        <f>PEP노동및자본국산초기21개!F24</f>
        <v>0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>
        <f t="shared" si="0"/>
        <v>429759.87854920502</v>
      </c>
    </row>
    <row r="25" spans="1:42" x14ac:dyDescent="0.3">
      <c r="A25" s="1" t="s">
        <v>4</v>
      </c>
      <c r="B25" s="4">
        <v>24582.852999999999</v>
      </c>
      <c r="C25" s="4">
        <v>1185.5809999999999</v>
      </c>
      <c r="D25" s="4">
        <v>273674.4123729</v>
      </c>
      <c r="E25" s="4">
        <v>35880.453848000005</v>
      </c>
      <c r="F25" s="4">
        <v>24118.968999999997</v>
      </c>
      <c r="G25" s="4">
        <v>16010.707</v>
      </c>
      <c r="H25" s="4">
        <v>27171.904000000002</v>
      </c>
      <c r="I25" s="4">
        <v>13954.298999999999</v>
      </c>
      <c r="J25" s="4">
        <v>34616.607305799997</v>
      </c>
      <c r="K25" s="4">
        <v>56970.512999999999</v>
      </c>
      <c r="L25" s="4">
        <v>119791.432</v>
      </c>
      <c r="M25" s="4">
        <v>52901.981525199997</v>
      </c>
      <c r="N25" s="4">
        <v>44826.656999999999</v>
      </c>
      <c r="O25" s="4">
        <v>13838.985000000001</v>
      </c>
      <c r="P25" s="4">
        <v>23973.508999999998</v>
      </c>
      <c r="Q25" s="4">
        <v>16533.329951199998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>
        <f t="shared" si="0"/>
        <v>780032.19400309992</v>
      </c>
    </row>
    <row r="26" spans="1:42" x14ac:dyDescent="0.3">
      <c r="A26" s="1" t="s">
        <v>45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3704.7476271</v>
      </c>
      <c r="S26" s="4">
        <v>22084.738151999998</v>
      </c>
      <c r="T26" s="4">
        <v>13140.2856942</v>
      </c>
      <c r="U26" s="4">
        <v>7041.4374747999991</v>
      </c>
      <c r="V26" s="4">
        <v>669.60904879999998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>
        <f t="shared" si="0"/>
        <v>46640.817996899998</v>
      </c>
    </row>
    <row r="27" spans="1:42" x14ac:dyDescent="0.3">
      <c r="A27" s="1" t="s">
        <v>233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09">
        <v>7298.2420323393344</v>
      </c>
      <c r="X27" s="109">
        <v>6485.059107532983</v>
      </c>
      <c r="Y27" s="109">
        <f>PEP노동및자본국산초기21개!D40</f>
        <v>6381.5509118734863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>
        <f t="shared" si="0"/>
        <v>20164.852051745802</v>
      </c>
    </row>
    <row r="28" spans="1:42" x14ac:dyDescent="0.3">
      <c r="A28" s="1" t="s">
        <v>235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09">
        <v>35189.7753936921</v>
      </c>
      <c r="X28" s="109">
        <v>31268.86891359435</v>
      </c>
      <c r="Y28" s="109">
        <f>PEP노동및자본국산초기21개!D41</f>
        <v>23421.294184415252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>
        <f t="shared" si="0"/>
        <v>89879.938491701701</v>
      </c>
    </row>
    <row r="29" spans="1:42" x14ac:dyDescent="0.3">
      <c r="A29" s="1" t="s">
        <v>237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09">
        <v>71400.283938760331</v>
      </c>
      <c r="X29" s="109">
        <v>63444.739100969535</v>
      </c>
      <c r="Y29" s="109">
        <f>PEP노동및자본국산초기21개!D42</f>
        <v>42900.059533222804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>
        <f t="shared" si="0"/>
        <v>177745.08257295267</v>
      </c>
    </row>
    <row r="30" spans="1:42" x14ac:dyDescent="0.3">
      <c r="A30" s="1" t="s">
        <v>239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09">
        <v>122666.6064666265</v>
      </c>
      <c r="X30" s="109">
        <v>108998.87807661209</v>
      </c>
      <c r="Y30" s="109">
        <f>PEP노동및자본국산초기21개!D43</f>
        <v>61242.841997194235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>
        <f t="shared" si="0"/>
        <v>292908.32654043281</v>
      </c>
    </row>
    <row r="31" spans="1:42" x14ac:dyDescent="0.3">
      <c r="A31" s="1" t="s">
        <v>241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09">
        <v>247093.97761937679</v>
      </c>
      <c r="X31" s="109">
        <v>219562.33335049608</v>
      </c>
      <c r="Y31" s="109">
        <f>PEP노동및자본국산초기21개!D44</f>
        <v>128031.95337329424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>
        <f t="shared" si="0"/>
        <v>594688.26434316707</v>
      </c>
    </row>
    <row r="32" spans="1:42" x14ac:dyDescent="0.3">
      <c r="A32" s="1" t="s">
        <v>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>
        <v>518054.49400310015</v>
      </c>
      <c r="Z32" s="4">
        <v>46640.817996899998</v>
      </c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>
        <f t="shared" si="0"/>
        <v>564695.31200000015</v>
      </c>
    </row>
    <row r="33" spans="1:42" x14ac:dyDescent="0.3">
      <c r="A33" s="1" t="s">
        <v>8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6">
        <v>138813.37551130017</v>
      </c>
      <c r="AG33" s="4"/>
      <c r="AH33" s="6">
        <v>-29493.687672072301</v>
      </c>
      <c r="AI33" s="6"/>
      <c r="AJ33" s="4">
        <f>SUM(B36:V36)</f>
        <v>160659.12800000029</v>
      </c>
      <c r="AK33" s="4">
        <v>72174.278000000006</v>
      </c>
      <c r="AL33" s="4">
        <f>SUM(AA38:AE38)</f>
        <v>96387.730160772393</v>
      </c>
      <c r="AM33" s="4">
        <v>23757.155999999999</v>
      </c>
      <c r="AN33" s="4"/>
      <c r="AO33" s="4"/>
      <c r="AP33" s="4">
        <f t="shared" si="0"/>
        <v>462297.98000000056</v>
      </c>
    </row>
    <row r="34" spans="1:42" x14ac:dyDescent="0.3">
      <c r="A34" s="1" t="s">
        <v>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>
        <v>3484.9389585885074</v>
      </c>
      <c r="AB34" s="4">
        <v>12790.27335063112</v>
      </c>
      <c r="AC34" s="4">
        <v>23427.547763495517</v>
      </c>
      <c r="AD34" s="4">
        <v>33444.46655022374</v>
      </c>
      <c r="AE34" s="4">
        <v>69917.7282162888</v>
      </c>
      <c r="AF34" s="4">
        <f xml:space="preserve"> 353707.6584887-AF35</f>
        <v>320695.66253886477</v>
      </c>
      <c r="AG34" s="4">
        <f>133634.8-AG35</f>
        <v>126471.5544385352</v>
      </c>
      <c r="AH34" s="4"/>
      <c r="AI34" s="4"/>
      <c r="AJ34" s="4"/>
      <c r="AK34" s="4"/>
      <c r="AL34" s="4"/>
      <c r="AM34" s="4"/>
      <c r="AN34" s="4"/>
      <c r="AO34" s="4"/>
      <c r="AP34" s="4">
        <f t="shared" si="0"/>
        <v>590232.17181662761</v>
      </c>
    </row>
    <row r="35" spans="1:42" x14ac:dyDescent="0.3">
      <c r="A35" s="1" t="s">
        <v>223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>
        <f>SUM(AI18:AI22) * 0.8217</f>
        <v>33011.995949835211</v>
      </c>
      <c r="AG35" s="4">
        <f>SUM(AI18:AI22)*0.1783</f>
        <v>7163.2455614647897</v>
      </c>
      <c r="AH35" s="4"/>
      <c r="AI35" s="4"/>
      <c r="AJ35" s="4"/>
      <c r="AK35" s="4"/>
      <c r="AL35" s="4"/>
      <c r="AM35" s="4"/>
      <c r="AN35" s="4"/>
      <c r="AO35" s="4"/>
      <c r="AP35" s="4">
        <f t="shared" si="0"/>
        <v>40175.241511300002</v>
      </c>
    </row>
    <row r="36" spans="1:42" x14ac:dyDescent="0.3">
      <c r="A36" s="1" t="s">
        <v>12</v>
      </c>
      <c r="B36" s="6">
        <v>-5348.0299999999988</v>
      </c>
      <c r="C36" s="6">
        <v>-144511.804</v>
      </c>
      <c r="D36" s="6">
        <v>140251.24995610025</v>
      </c>
      <c r="E36" s="6">
        <v>11493.956590999995</v>
      </c>
      <c r="F36" s="6">
        <v>42286.777000000016</v>
      </c>
      <c r="G36" s="6">
        <v>28997.324000000051</v>
      </c>
      <c r="H36" s="6">
        <v>9952.8429999999644</v>
      </c>
      <c r="I36" s="6">
        <v>17144.445999999967</v>
      </c>
      <c r="J36" s="6">
        <v>8234.9001144000067</v>
      </c>
      <c r="K36" s="6">
        <v>9481.4509999999718</v>
      </c>
      <c r="L36" s="6">
        <v>32963.459000000032</v>
      </c>
      <c r="M36" s="6">
        <v>-20122.886003599968</v>
      </c>
      <c r="N36" s="6">
        <v>4424.1549999999988</v>
      </c>
      <c r="O36" s="6">
        <v>1591.7249999999913</v>
      </c>
      <c r="P36" s="6">
        <v>9051.3360000000102</v>
      </c>
      <c r="Q36" s="6">
        <v>10893.087884799999</v>
      </c>
      <c r="R36" s="6">
        <v>-1388.9079561000071</v>
      </c>
      <c r="S36" s="6">
        <v>7074.6324090000126</v>
      </c>
      <c r="T36" s="6">
        <v>1151.6948856000017</v>
      </c>
      <c r="U36" s="6">
        <v>-2956.6829964000026</v>
      </c>
      <c r="V36" s="6">
        <v>-5.5988847999992686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>
        <f t="shared" si="0"/>
        <v>160659.12800000029</v>
      </c>
    </row>
    <row r="37" spans="1:42" x14ac:dyDescent="0.3">
      <c r="A37" s="1" t="s">
        <v>13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>
        <v>72174.278000000006</v>
      </c>
      <c r="AG37" s="4"/>
      <c r="AH37" s="4"/>
      <c r="AI37" s="4"/>
      <c r="AJ37" s="4"/>
      <c r="AK37" s="4"/>
      <c r="AL37" s="4"/>
      <c r="AM37" s="4"/>
      <c r="AN37" s="4"/>
      <c r="AO37" s="4"/>
      <c r="AP37" s="4">
        <f t="shared" si="0"/>
        <v>72174.278000000006</v>
      </c>
    </row>
    <row r="38" spans="1:42" x14ac:dyDescent="0.3">
      <c r="A38" s="1" t="s">
        <v>14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7">
        <v>2556.7103920545705</v>
      </c>
      <c r="AB38" s="7">
        <v>8992.1248444948578</v>
      </c>
      <c r="AC38" s="7">
        <v>16147.181111256301</v>
      </c>
      <c r="AD38" s="7">
        <v>22085.414590905479</v>
      </c>
      <c r="AE38" s="7">
        <v>46606.299222061178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>
        <f t="shared" si="0"/>
        <v>96387.730160772393</v>
      </c>
    </row>
    <row r="39" spans="1:42" x14ac:dyDescent="0.3">
      <c r="A39" s="1" t="s">
        <v>226</v>
      </c>
      <c r="B39" s="4">
        <v>543.61400000000003</v>
      </c>
      <c r="C39" s="4">
        <v>6069.3789999999999</v>
      </c>
      <c r="D39" s="4">
        <v>16859.252943799998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1.0676E-2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0.82699999999999996</v>
      </c>
      <c r="R39" s="4">
        <v>284.06305620000001</v>
      </c>
      <c r="S39" s="4">
        <v>0</v>
      </c>
      <c r="T39" s="4">
        <v>9.3240000000000007E-3</v>
      </c>
      <c r="U39" s="4">
        <v>0</v>
      </c>
      <c r="V39" s="4">
        <v>0</v>
      </c>
      <c r="W39" s="4"/>
      <c r="X39" s="4"/>
      <c r="Y39" s="4"/>
      <c r="Z39" s="4"/>
      <c r="AA39" s="7"/>
      <c r="AB39" s="7"/>
      <c r="AC39" s="7"/>
      <c r="AD39" s="7"/>
      <c r="AE39" s="7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>
        <f t="shared" si="0"/>
        <v>23757.156000000003</v>
      </c>
    </row>
    <row r="40" spans="1:42" x14ac:dyDescent="0.3">
      <c r="A40" s="1" t="s">
        <v>15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>
        <v>761603.0070000001</v>
      </c>
      <c r="AP40" s="4">
        <f t="shared" si="0"/>
        <v>761603.0070000001</v>
      </c>
    </row>
    <row r="41" spans="1:42" x14ac:dyDescent="0.3">
      <c r="A41" s="1" t="s">
        <v>16</v>
      </c>
      <c r="B41" s="8">
        <v>11582.416999999999</v>
      </c>
      <c r="C41" s="8">
        <v>140621.35</v>
      </c>
      <c r="D41" s="8">
        <v>427720.12769220001</v>
      </c>
      <c r="E41" s="8">
        <v>2378.4344580000002</v>
      </c>
      <c r="F41" s="8">
        <v>177.20099999999999</v>
      </c>
      <c r="G41" s="8">
        <v>35.432000000000002</v>
      </c>
      <c r="H41" s="8">
        <v>24516.612000000001</v>
      </c>
      <c r="I41" s="8">
        <v>18820.819</v>
      </c>
      <c r="J41" s="8">
        <v>6288.0323116</v>
      </c>
      <c r="K41" s="8">
        <v>3965.2249999999999</v>
      </c>
      <c r="L41" s="8">
        <v>1753.3440000000001</v>
      </c>
      <c r="M41" s="8">
        <v>37076.588930799997</v>
      </c>
      <c r="N41" s="8">
        <v>657.35900000000004</v>
      </c>
      <c r="O41" s="8">
        <v>2315.5300000000002</v>
      </c>
      <c r="P41" s="8">
        <v>361.84199999999998</v>
      </c>
      <c r="Q41" s="8">
        <v>6771.4735480000008</v>
      </c>
      <c r="R41" s="8">
        <v>10411.374307800001</v>
      </c>
      <c r="S41" s="8">
        <v>1463.9475419999999</v>
      </c>
      <c r="T41" s="8">
        <v>3255.6526884</v>
      </c>
      <c r="U41" s="8">
        <v>7574.2960691999997</v>
      </c>
      <c r="V41" s="8">
        <v>74.275452000000001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7">
        <v>53781.672999999952</v>
      </c>
      <c r="AI41" s="6"/>
      <c r="AJ41" s="4"/>
      <c r="AK41" s="4"/>
      <c r="AL41" s="4"/>
      <c r="AM41" s="4"/>
      <c r="AN41" s="4"/>
      <c r="AO41" s="4"/>
      <c r="AP41" s="4">
        <f t="shared" si="0"/>
        <v>761603.00699999998</v>
      </c>
    </row>
    <row r="42" spans="1:42" x14ac:dyDescent="0.3">
      <c r="A42" s="81" t="s">
        <v>17</v>
      </c>
      <c r="B42" s="4">
        <f>SUM(B2:B41)</f>
        <v>66692.468000000008</v>
      </c>
      <c r="C42" s="4">
        <f t="shared" ref="C42:AO42" si="1">SUM(C2:C41)</f>
        <v>6468.3619999999937</v>
      </c>
      <c r="D42" s="4">
        <f t="shared" si="1"/>
        <v>1934621.8735221003</v>
      </c>
      <c r="E42" s="4">
        <f t="shared" si="1"/>
        <v>176748.366783</v>
      </c>
      <c r="F42" s="4">
        <f t="shared" si="1"/>
        <v>121254.18500000001</v>
      </c>
      <c r="G42" s="4">
        <f t="shared" si="1"/>
        <v>275171.24599999998</v>
      </c>
      <c r="H42" s="4">
        <f t="shared" si="1"/>
        <v>164675.00499999998</v>
      </c>
      <c r="I42" s="4">
        <f t="shared" si="1"/>
        <v>188263.799</v>
      </c>
      <c r="J42" s="4">
        <f t="shared" si="1"/>
        <v>119801.93171380003</v>
      </c>
      <c r="K42" s="4">
        <f t="shared" si="1"/>
        <v>185422.64699999997</v>
      </c>
      <c r="L42" s="4">
        <f t="shared" si="1"/>
        <v>230695.64600000004</v>
      </c>
      <c r="M42" s="4">
        <f t="shared" si="1"/>
        <v>304627.80582840001</v>
      </c>
      <c r="N42" s="4">
        <f t="shared" si="1"/>
        <v>159394.38399999999</v>
      </c>
      <c r="O42" s="4">
        <f t="shared" si="1"/>
        <v>132366.633</v>
      </c>
      <c r="P42" s="4">
        <f t="shared" si="1"/>
        <v>167750.666</v>
      </c>
      <c r="Q42" s="4">
        <f t="shared" si="1"/>
        <v>115642.37940960001</v>
      </c>
      <c r="R42" s="4">
        <f t="shared" si="1"/>
        <v>28800.360477899994</v>
      </c>
      <c r="S42" s="4">
        <f t="shared" si="1"/>
        <v>108790.19021700001</v>
      </c>
      <c r="T42" s="4">
        <f t="shared" si="1"/>
        <v>37289.520286200001</v>
      </c>
      <c r="U42" s="4">
        <f t="shared" si="1"/>
        <v>31972.066171599996</v>
      </c>
      <c r="V42" s="4">
        <f t="shared" si="1"/>
        <v>3980.0625904000003</v>
      </c>
      <c r="W42" s="4">
        <f t="shared" si="1"/>
        <v>483648.88545079506</v>
      </c>
      <c r="X42" s="4">
        <f t="shared" si="1"/>
        <v>429759.87854920502</v>
      </c>
      <c r="Y42" s="4">
        <f t="shared" si="1"/>
        <v>780032.19400310016</v>
      </c>
      <c r="Z42" s="4">
        <f t="shared" si="1"/>
        <v>46640.817996899998</v>
      </c>
      <c r="AA42" s="4">
        <f t="shared" si="1"/>
        <v>20164.852051745802</v>
      </c>
      <c r="AB42" s="4">
        <f t="shared" si="1"/>
        <v>89879.938491701701</v>
      </c>
      <c r="AC42" s="4">
        <f t="shared" si="1"/>
        <v>177745.08257295267</v>
      </c>
      <c r="AD42" s="4">
        <f t="shared" si="1"/>
        <v>292908.32654043281</v>
      </c>
      <c r="AE42" s="4">
        <f t="shared" si="1"/>
        <v>594688.26434316707</v>
      </c>
      <c r="AF42" s="4">
        <f t="shared" si="1"/>
        <v>564695.31200000015</v>
      </c>
      <c r="AG42" s="4">
        <f t="shared" si="1"/>
        <v>462297.98</v>
      </c>
      <c r="AH42" s="4">
        <f t="shared" si="1"/>
        <v>590232.17181662761</v>
      </c>
      <c r="AI42" s="4">
        <f t="shared" si="1"/>
        <v>40175.241511300002</v>
      </c>
      <c r="AJ42" s="4">
        <f t="shared" si="1"/>
        <v>160659.12800000029</v>
      </c>
      <c r="AK42" s="4">
        <f t="shared" si="1"/>
        <v>72174.278000000006</v>
      </c>
      <c r="AL42" s="4">
        <f t="shared" si="1"/>
        <v>96387.730160772393</v>
      </c>
      <c r="AM42" s="4">
        <f t="shared" si="1"/>
        <v>23757.155999999999</v>
      </c>
      <c r="AN42" s="4">
        <f t="shared" si="1"/>
        <v>761603.0070000001</v>
      </c>
      <c r="AO42" s="4">
        <f t="shared" si="1"/>
        <v>761603.0070000001</v>
      </c>
      <c r="AP42" s="4"/>
    </row>
    <row r="43" spans="1:42" x14ac:dyDescent="0.3">
      <c r="B43" s="5">
        <f t="array" ref="B43:AP43">TRANSPOSE(AP2:AP41)</f>
        <v>66692.468000000008</v>
      </c>
      <c r="C43" s="5">
        <v>6468.3619999999992</v>
      </c>
      <c r="D43" s="5">
        <v>1934621.8735221003</v>
      </c>
      <c r="E43" s="5">
        <v>176748.366783</v>
      </c>
      <c r="F43" s="5">
        <v>121254.18500000001</v>
      </c>
      <c r="G43" s="5">
        <v>275171.24600000004</v>
      </c>
      <c r="H43" s="5">
        <v>164675.00499999998</v>
      </c>
      <c r="I43" s="5">
        <v>188263.799</v>
      </c>
      <c r="J43" s="5">
        <v>119801.93171380002</v>
      </c>
      <c r="K43" s="5">
        <v>185422.64699999997</v>
      </c>
      <c r="L43" s="5">
        <v>230695.64600000004</v>
      </c>
      <c r="M43" s="5">
        <v>304627.80582840001</v>
      </c>
      <c r="N43" s="5">
        <v>159394.38399999999</v>
      </c>
      <c r="O43" s="5">
        <v>132366.633</v>
      </c>
      <c r="P43" s="5">
        <v>167750.666</v>
      </c>
      <c r="Q43" s="5">
        <v>115642.37940960001</v>
      </c>
      <c r="R43" s="5">
        <v>28800.360477899994</v>
      </c>
      <c r="S43" s="5">
        <v>108790.19021700001</v>
      </c>
      <c r="T43" s="5">
        <v>37289.520286200001</v>
      </c>
      <c r="U43" s="5">
        <v>31972.066171599992</v>
      </c>
      <c r="V43" s="5">
        <v>3980.0625904000003</v>
      </c>
      <c r="W43" s="5">
        <v>483648.88545079506</v>
      </c>
      <c r="X43" s="5">
        <v>429759.87854920502</v>
      </c>
      <c r="Y43" s="5">
        <v>780032.19400309992</v>
      </c>
      <c r="Z43" s="5">
        <v>46640.817996899998</v>
      </c>
      <c r="AA43" s="5">
        <v>20164.852051745802</v>
      </c>
      <c r="AB43" s="5">
        <v>89879.938491701701</v>
      </c>
      <c r="AC43" s="5">
        <v>177745.08257295267</v>
      </c>
      <c r="AD43" s="5">
        <v>292908.32654043281</v>
      </c>
      <c r="AE43" s="5">
        <v>594688.26434316707</v>
      </c>
      <c r="AF43" s="5">
        <v>564695.31200000015</v>
      </c>
      <c r="AG43" s="5">
        <v>462297.98000000056</v>
      </c>
      <c r="AH43" s="5">
        <v>590232.17181662761</v>
      </c>
      <c r="AI43" s="5">
        <v>40175.241511300002</v>
      </c>
      <c r="AJ43" s="5">
        <v>160659.12800000029</v>
      </c>
      <c r="AK43" s="5">
        <v>72174.278000000006</v>
      </c>
      <c r="AL43" s="5">
        <v>96387.730160772393</v>
      </c>
      <c r="AM43" s="5">
        <v>23757.156000000003</v>
      </c>
      <c r="AN43" s="5">
        <v>761603.0070000001</v>
      </c>
      <c r="AO43" s="5">
        <v>761603.00699999998</v>
      </c>
      <c r="AP43" s="5" t="e">
        <v>#N/A</v>
      </c>
    </row>
    <row r="45" spans="1:42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42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42" x14ac:dyDescent="0.3">
      <c r="W47" s="5"/>
    </row>
    <row r="48" spans="1:42" x14ac:dyDescent="0.3">
      <c r="AA48" s="5"/>
      <c r="AB48" s="5"/>
      <c r="AC48" s="5"/>
      <c r="AD48" s="5"/>
      <c r="AE48" s="5"/>
      <c r="AF48" s="5"/>
      <c r="AG48" s="5"/>
      <c r="AH48" s="5"/>
    </row>
    <row r="49" spans="27:27" x14ac:dyDescent="0.3">
      <c r="AA4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zoomScale="75" zoomScaleNormal="85" workbookViewId="0">
      <selection activeCell="A16" sqref="A16:B16"/>
    </sheetView>
  </sheetViews>
  <sheetFormatPr defaultColWidth="11.5546875" defaultRowHeight="17.25" x14ac:dyDescent="0.3"/>
  <cols>
    <col min="2" max="3" width="15.44140625" customWidth="1"/>
    <col min="9" max="9" width="12" bestFit="1" customWidth="1"/>
  </cols>
  <sheetData>
    <row r="1" spans="1:16" x14ac:dyDescent="0.3">
      <c r="A1" s="110"/>
      <c r="B1" s="110"/>
      <c r="C1" s="1" t="s">
        <v>0</v>
      </c>
      <c r="D1" s="110" t="s">
        <v>2</v>
      </c>
      <c r="E1" s="110"/>
      <c r="F1" s="110" t="s">
        <v>5</v>
      </c>
      <c r="G1" s="110"/>
      <c r="H1" s="110"/>
      <c r="I1" s="1" t="s">
        <v>10</v>
      </c>
      <c r="J1" s="114" t="s">
        <v>11</v>
      </c>
      <c r="K1" s="115"/>
      <c r="L1" s="115"/>
      <c r="M1" s="116"/>
      <c r="N1" s="110" t="s">
        <v>18</v>
      </c>
      <c r="O1" s="110"/>
      <c r="P1" s="110" t="s">
        <v>17</v>
      </c>
    </row>
    <row r="2" spans="1:16" x14ac:dyDescent="0.3">
      <c r="A2" s="110"/>
      <c r="B2" s="110"/>
      <c r="C2" s="1" t="s">
        <v>1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12</v>
      </c>
      <c r="K2" s="1" t="s">
        <v>13</v>
      </c>
      <c r="L2" s="1" t="s">
        <v>14</v>
      </c>
      <c r="M2" s="1" t="s">
        <v>41</v>
      </c>
      <c r="N2" s="1" t="s">
        <v>15</v>
      </c>
      <c r="O2" s="1" t="s">
        <v>16</v>
      </c>
      <c r="P2" s="110"/>
    </row>
    <row r="3" spans="1:16" ht="39" customHeight="1" x14ac:dyDescent="0.3">
      <c r="A3" s="1" t="s">
        <v>0</v>
      </c>
      <c r="B3" s="1" t="s">
        <v>1</v>
      </c>
      <c r="C3" s="4">
        <v>2465176.361</v>
      </c>
      <c r="D3" s="4"/>
      <c r="E3" s="4"/>
      <c r="F3" s="4">
        <v>935933.77899999998</v>
      </c>
      <c r="G3" s="4"/>
      <c r="H3" s="4">
        <v>328663.18</v>
      </c>
      <c r="I3" s="4">
        <v>606119.42799999996</v>
      </c>
      <c r="J3" s="4"/>
      <c r="K3" s="4"/>
      <c r="L3" s="4"/>
      <c r="M3" s="4"/>
      <c r="N3" s="4">
        <v>761603.00699999998</v>
      </c>
      <c r="O3" s="4"/>
      <c r="P3" s="4">
        <f>SUM(C3:O3)</f>
        <v>5097495.7550000008</v>
      </c>
    </row>
    <row r="4" spans="1:16" ht="39" customHeight="1" x14ac:dyDescent="0.3">
      <c r="A4" s="110" t="s">
        <v>2</v>
      </c>
      <c r="B4" s="1" t="s">
        <v>3</v>
      </c>
      <c r="C4" s="4">
        <v>913408.76399999997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 t="shared" ref="P4:P15" si="0">SUM(C4:O4)</f>
        <v>913408.76399999997</v>
      </c>
    </row>
    <row r="5" spans="1:16" ht="39" customHeight="1" x14ac:dyDescent="0.3">
      <c r="A5" s="110"/>
      <c r="B5" s="1" t="s">
        <v>4</v>
      </c>
      <c r="C5" s="4">
        <v>826673.0120000001</v>
      </c>
      <c r="D5" s="4"/>
      <c r="E5" s="4" t="s">
        <v>40</v>
      </c>
      <c r="F5" s="4"/>
      <c r="G5" s="4"/>
      <c r="H5" s="4"/>
      <c r="I5" s="4"/>
      <c r="J5" s="4"/>
      <c r="K5" s="4"/>
      <c r="L5" s="4"/>
      <c r="M5" s="4"/>
      <c r="N5" s="4"/>
      <c r="O5" s="4"/>
      <c r="P5" s="4">
        <f t="shared" si="0"/>
        <v>826673.0120000001</v>
      </c>
    </row>
    <row r="6" spans="1:16" ht="39" customHeight="1" x14ac:dyDescent="0.3">
      <c r="A6" s="110" t="s">
        <v>5</v>
      </c>
      <c r="B6" s="1" t="s">
        <v>6</v>
      </c>
      <c r="C6" s="4"/>
      <c r="D6" s="4">
        <v>913408.76399999997</v>
      </c>
      <c r="E6" s="4">
        <v>261977.7</v>
      </c>
      <c r="F6" s="4"/>
      <c r="G6" s="4"/>
      <c r="H6" s="4"/>
      <c r="I6" s="4"/>
      <c r="J6" s="4"/>
      <c r="K6" s="4"/>
      <c r="L6" s="4"/>
      <c r="M6" s="4"/>
      <c r="N6" s="4"/>
      <c r="O6" s="4"/>
      <c r="P6" s="4">
        <f t="shared" si="0"/>
        <v>1175386.4639999999</v>
      </c>
    </row>
    <row r="7" spans="1:16" ht="39" customHeight="1" x14ac:dyDescent="0.3">
      <c r="A7" s="110"/>
      <c r="B7" s="1" t="s">
        <v>7</v>
      </c>
      <c r="C7" s="4"/>
      <c r="D7" s="4"/>
      <c r="E7" s="5">
        <f>C5-E6</f>
        <v>564695.31200000015</v>
      </c>
      <c r="F7" s="4"/>
      <c r="G7" s="4"/>
      <c r="H7" s="4"/>
      <c r="I7" s="4"/>
      <c r="J7" s="4"/>
      <c r="K7" s="4"/>
      <c r="L7" s="4"/>
      <c r="M7" s="4"/>
      <c r="N7" s="4"/>
      <c r="O7" s="4"/>
      <c r="P7" s="4">
        <f t="shared" si="0"/>
        <v>564695.31200000015</v>
      </c>
    </row>
    <row r="8" spans="1:16" ht="39" customHeight="1" x14ac:dyDescent="0.3">
      <c r="A8" s="110"/>
      <c r="B8" s="1" t="s">
        <v>8</v>
      </c>
      <c r="C8" s="4"/>
      <c r="D8" s="4"/>
      <c r="E8" s="4"/>
      <c r="F8" s="4"/>
      <c r="G8" s="6">
        <v>98638.134000000136</v>
      </c>
      <c r="H8" s="4"/>
      <c r="I8" s="6">
        <v>10713.599000000046</v>
      </c>
      <c r="J8" s="4">
        <v>160659.128</v>
      </c>
      <c r="K8" s="4">
        <v>72174.278000000006</v>
      </c>
      <c r="L8" s="4">
        <v>96355.684999999823</v>
      </c>
      <c r="M8" s="4">
        <v>23757.155999999999</v>
      </c>
      <c r="N8" s="4"/>
      <c r="O8" s="4"/>
      <c r="P8" s="4">
        <f t="shared" si="0"/>
        <v>462297.98</v>
      </c>
    </row>
    <row r="9" spans="1:16" ht="39" customHeight="1" x14ac:dyDescent="0.3">
      <c r="A9" s="1" t="s">
        <v>10</v>
      </c>
      <c r="B9" s="1" t="s">
        <v>9</v>
      </c>
      <c r="C9" s="4"/>
      <c r="D9" s="4"/>
      <c r="E9" s="4"/>
      <c r="F9" s="4">
        <v>143097</v>
      </c>
      <c r="G9" s="4">
        <v>393882.9</v>
      </c>
      <c r="H9" s="4">
        <v>133634.79999999999</v>
      </c>
      <c r="I9" s="4"/>
      <c r="J9" s="4"/>
      <c r="K9" s="4"/>
      <c r="L9" s="4"/>
      <c r="M9" s="4"/>
      <c r="N9" s="4"/>
      <c r="O9" s="4"/>
      <c r="P9" s="4">
        <f t="shared" si="0"/>
        <v>670614.69999999995</v>
      </c>
    </row>
    <row r="10" spans="1:16" ht="39" customHeight="1" x14ac:dyDescent="0.3">
      <c r="A10" s="111" t="s">
        <v>11</v>
      </c>
      <c r="B10" s="1" t="s">
        <v>12</v>
      </c>
      <c r="C10" s="4">
        <v>160659.128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>
        <f t="shared" si="0"/>
        <v>160659.128</v>
      </c>
    </row>
    <row r="11" spans="1:16" ht="39" customHeight="1" x14ac:dyDescent="0.3">
      <c r="A11" s="112"/>
      <c r="B11" s="1" t="s">
        <v>13</v>
      </c>
      <c r="C11" s="4"/>
      <c r="D11" s="4"/>
      <c r="E11" s="4"/>
      <c r="F11" s="4"/>
      <c r="G11" s="4">
        <v>72174.278000000006</v>
      </c>
      <c r="H11" s="4"/>
      <c r="I11" s="4"/>
      <c r="J11" s="4"/>
      <c r="K11" s="4"/>
      <c r="L11" s="4"/>
      <c r="M11" s="4"/>
      <c r="N11" s="4"/>
      <c r="O11" s="4"/>
      <c r="P11" s="4">
        <f t="shared" si="0"/>
        <v>72174.278000000006</v>
      </c>
    </row>
    <row r="12" spans="1:16" ht="39" customHeight="1" x14ac:dyDescent="0.3">
      <c r="A12" s="112"/>
      <c r="B12" s="1" t="s">
        <v>14</v>
      </c>
      <c r="C12" s="4"/>
      <c r="D12" s="4"/>
      <c r="E12" s="4"/>
      <c r="F12" s="6">
        <v>96355.684999999823</v>
      </c>
      <c r="G12" s="4"/>
      <c r="H12" s="4"/>
      <c r="I12" s="4"/>
      <c r="J12" s="4"/>
      <c r="K12" s="4"/>
      <c r="L12" s="4"/>
      <c r="M12" s="4"/>
      <c r="N12" s="4"/>
      <c r="O12" s="4"/>
      <c r="P12" s="4">
        <f t="shared" si="0"/>
        <v>96355.684999999823</v>
      </c>
    </row>
    <row r="13" spans="1:16" ht="39" customHeight="1" x14ac:dyDescent="0.3">
      <c r="A13" s="113"/>
      <c r="B13" s="1" t="s">
        <v>41</v>
      </c>
      <c r="C13" s="4">
        <v>23757.155999999999</v>
      </c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4">
        <f t="shared" si="0"/>
        <v>23757.155999999999</v>
      </c>
    </row>
    <row r="14" spans="1:16" ht="39" customHeight="1" x14ac:dyDescent="0.3">
      <c r="A14" s="110" t="s">
        <v>18</v>
      </c>
      <c r="B14" s="1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761603.00699999998</v>
      </c>
      <c r="P14" s="4">
        <f t="shared" si="0"/>
        <v>761603.00699999998</v>
      </c>
    </row>
    <row r="15" spans="1:16" ht="39" customHeight="1" x14ac:dyDescent="0.3">
      <c r="A15" s="110"/>
      <c r="B15" s="1" t="s">
        <v>16</v>
      </c>
      <c r="C15" s="4">
        <v>707821.33400000003</v>
      </c>
      <c r="D15" s="4"/>
      <c r="E15" s="4"/>
      <c r="F15" s="4"/>
      <c r="G15" s="4"/>
      <c r="H15" s="4"/>
      <c r="I15" s="6">
        <f>O14-C15</f>
        <v>53781.672999999952</v>
      </c>
      <c r="J15" s="4"/>
      <c r="K15" s="4"/>
      <c r="L15" s="4"/>
      <c r="M15" s="4"/>
      <c r="N15" s="4"/>
      <c r="O15" s="4"/>
      <c r="P15" s="4">
        <f t="shared" si="0"/>
        <v>761603.00699999998</v>
      </c>
    </row>
    <row r="16" spans="1:16" ht="39" customHeight="1" x14ac:dyDescent="0.3">
      <c r="A16" s="110" t="s">
        <v>17</v>
      </c>
      <c r="B16" s="110"/>
      <c r="C16" s="4">
        <f>SUM(C3:C15)</f>
        <v>5097495.7549999999</v>
      </c>
      <c r="D16" s="4">
        <f t="shared" ref="D16:O16" si="1">SUM(D3:D15)</f>
        <v>913408.76399999997</v>
      </c>
      <c r="E16" s="4">
        <f t="shared" si="1"/>
        <v>826673.0120000001</v>
      </c>
      <c r="F16" s="4">
        <f t="shared" si="1"/>
        <v>1175386.4639999999</v>
      </c>
      <c r="G16" s="4">
        <f t="shared" si="1"/>
        <v>564695.31200000015</v>
      </c>
      <c r="H16" s="4">
        <f t="shared" si="1"/>
        <v>462297.98</v>
      </c>
      <c r="I16" s="4">
        <f t="shared" si="1"/>
        <v>670614.69999999995</v>
      </c>
      <c r="J16" s="4">
        <f t="shared" si="1"/>
        <v>160659.128</v>
      </c>
      <c r="K16" s="4">
        <f t="shared" si="1"/>
        <v>72174.278000000006</v>
      </c>
      <c r="L16" s="4">
        <f t="shared" si="1"/>
        <v>96355.684999999823</v>
      </c>
      <c r="M16" s="4">
        <f t="shared" si="1"/>
        <v>23757.155999999999</v>
      </c>
      <c r="N16" s="4">
        <f t="shared" si="1"/>
        <v>761603.00699999998</v>
      </c>
      <c r="O16" s="4">
        <f t="shared" si="1"/>
        <v>761603.00699999998</v>
      </c>
      <c r="P16" s="4"/>
    </row>
    <row r="24" spans="9:9" x14ac:dyDescent="0.3">
      <c r="I24" s="3"/>
    </row>
  </sheetData>
  <mergeCells count="11">
    <mergeCell ref="D1:E1"/>
    <mergeCell ref="F1:H1"/>
    <mergeCell ref="N1:O1"/>
    <mergeCell ref="P1:P2"/>
    <mergeCell ref="J1:M1"/>
    <mergeCell ref="A6:A8"/>
    <mergeCell ref="A14:A15"/>
    <mergeCell ref="A16:B16"/>
    <mergeCell ref="A1:B2"/>
    <mergeCell ref="A4:A5"/>
    <mergeCell ref="A10:A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zoomScaleNormal="7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5" sqref="E5"/>
    </sheetView>
  </sheetViews>
  <sheetFormatPr defaultColWidth="11.5546875" defaultRowHeight="33" customHeight="1" x14ac:dyDescent="0.3"/>
  <cols>
    <col min="2" max="2" width="31.88671875" bestFit="1" customWidth="1"/>
    <col min="3" max="3" width="9.5546875" bestFit="1" customWidth="1"/>
    <col min="4" max="4" width="9.6640625" customWidth="1"/>
    <col min="5" max="5" width="10.6640625" bestFit="1" customWidth="1"/>
    <col min="6" max="6" width="13.88671875" bestFit="1" customWidth="1"/>
    <col min="7" max="7" width="25.44140625" bestFit="1" customWidth="1"/>
    <col min="8" max="9" width="9.33203125" bestFit="1" customWidth="1"/>
    <col min="10" max="10" width="15.88671875" bestFit="1" customWidth="1"/>
    <col min="11" max="12" width="13.88671875" bestFit="1" customWidth="1"/>
    <col min="13" max="13" width="15.88671875" bestFit="1" customWidth="1"/>
    <col min="14" max="14" width="12.44140625" bestFit="1" customWidth="1"/>
    <col min="15" max="15" width="28.109375" bestFit="1" customWidth="1"/>
    <col min="16" max="16" width="12.44140625" bestFit="1" customWidth="1"/>
    <col min="17" max="17" width="25.109375" bestFit="1" customWidth="1"/>
    <col min="18" max="20" width="19.5546875" bestFit="1" customWidth="1"/>
    <col min="21" max="21" width="32.33203125" bestFit="1" customWidth="1"/>
    <col min="22" max="22" width="25.109375" bestFit="1" customWidth="1"/>
    <col min="23" max="23" width="24.6640625" bestFit="1" customWidth="1"/>
    <col min="24" max="28" width="11" bestFit="1" customWidth="1"/>
    <col min="29" max="29" width="12.33203125" bestFit="1" customWidth="1"/>
    <col min="30" max="32" width="11" bestFit="1" customWidth="1"/>
    <col min="33" max="33" width="11" customWidth="1"/>
    <col min="34" max="36" width="11" bestFit="1" customWidth="1"/>
  </cols>
  <sheetData>
    <row r="1" spans="1:38" ht="33" customHeight="1" x14ac:dyDescent="0.3">
      <c r="A1" s="117"/>
      <c r="B1" s="118"/>
      <c r="C1" s="110" t="s">
        <v>0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 t="s">
        <v>2</v>
      </c>
      <c r="Y1" s="110"/>
      <c r="Z1" s="110" t="s">
        <v>5</v>
      </c>
      <c r="AA1" s="110"/>
      <c r="AB1" s="110"/>
      <c r="AC1" s="1" t="s">
        <v>10</v>
      </c>
      <c r="AD1" s="114" t="s">
        <v>11</v>
      </c>
      <c r="AE1" s="115"/>
      <c r="AF1" s="115"/>
      <c r="AG1" s="116"/>
      <c r="AH1" s="110" t="s">
        <v>18</v>
      </c>
      <c r="AI1" s="110"/>
      <c r="AJ1" s="110" t="s">
        <v>17</v>
      </c>
    </row>
    <row r="2" spans="1:38" ht="33" customHeight="1" x14ac:dyDescent="0.3">
      <c r="A2" s="119"/>
      <c r="B2" s="120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12</v>
      </c>
      <c r="AE2" s="1" t="s">
        <v>13</v>
      </c>
      <c r="AF2" s="1" t="s">
        <v>14</v>
      </c>
      <c r="AG2" s="1" t="s">
        <v>41</v>
      </c>
      <c r="AH2" s="1" t="s">
        <v>15</v>
      </c>
      <c r="AI2" s="1" t="s">
        <v>16</v>
      </c>
      <c r="AJ2" s="110"/>
    </row>
    <row r="3" spans="1:38" ht="33" customHeight="1" x14ac:dyDescent="0.3">
      <c r="A3" s="110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>
        <v>17897.539000000001</v>
      </c>
      <c r="AA3" s="4"/>
      <c r="AB3" s="4">
        <v>0</v>
      </c>
      <c r="AC3" s="4">
        <v>384.49400000000003</v>
      </c>
      <c r="AD3" s="4"/>
      <c r="AE3" s="4"/>
      <c r="AF3" s="4"/>
      <c r="AG3" s="4"/>
      <c r="AH3" s="4">
        <v>1080.9490000000001</v>
      </c>
      <c r="AI3" s="4"/>
      <c r="AJ3" s="4">
        <f>SUM(C3:AI3)</f>
        <v>75059.411000000007</v>
      </c>
      <c r="AL3" s="2"/>
    </row>
    <row r="4" spans="1:38" ht="33" customHeight="1" x14ac:dyDescent="0.3">
      <c r="A4" s="110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>
        <v>15.273999999999999</v>
      </c>
      <c r="AA4" s="4"/>
      <c r="AB4" s="4">
        <v>0</v>
      </c>
      <c r="AC4" s="4">
        <v>1989.682</v>
      </c>
      <c r="AD4" s="4"/>
      <c r="AE4" s="4"/>
      <c r="AF4" s="4"/>
      <c r="AG4" s="4"/>
      <c r="AH4" s="4">
        <v>112.92700000000001</v>
      </c>
      <c r="AI4" s="4"/>
      <c r="AJ4" s="4">
        <f t="shared" ref="AJ4:AJ26" si="0">SUM(C4:AI4)</f>
        <v>150977.182</v>
      </c>
    </row>
    <row r="5" spans="1:38" ht="33" customHeight="1" x14ac:dyDescent="0.3">
      <c r="A5" s="110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>
        <v>213777.45697209999</v>
      </c>
      <c r="AA5" s="4"/>
      <c r="AB5" s="4">
        <v>0</v>
      </c>
      <c r="AC5" s="4">
        <v>163215.9600017</v>
      </c>
      <c r="AD5" s="4"/>
      <c r="AE5" s="4"/>
      <c r="AF5" s="4"/>
      <c r="AG5" s="4"/>
      <c r="AH5" s="4">
        <v>621764.05098910001</v>
      </c>
      <c r="AI5" s="4"/>
      <c r="AJ5" s="4">
        <f t="shared" si="0"/>
        <v>2241252.3016307</v>
      </c>
    </row>
    <row r="6" spans="1:38" ht="33" customHeight="1" x14ac:dyDescent="0.3">
      <c r="A6" s="110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>
        <v>56432.395283999998</v>
      </c>
      <c r="AA6" s="4"/>
      <c r="AB6" s="4">
        <v>0</v>
      </c>
      <c r="AC6" s="4">
        <v>9516.1853579999988</v>
      </c>
      <c r="AD6" s="4"/>
      <c r="AE6" s="4"/>
      <c r="AF6" s="4"/>
      <c r="AG6" s="4"/>
      <c r="AH6" s="4">
        <v>22379.124206</v>
      </c>
      <c r="AI6" s="4"/>
      <c r="AJ6" s="4">
        <f t="shared" si="0"/>
        <v>179126.80124100001</v>
      </c>
    </row>
    <row r="7" spans="1:38" ht="33" customHeight="1" x14ac:dyDescent="0.3">
      <c r="A7" s="110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>
        <v>22621.353999999999</v>
      </c>
      <c r="AA7" s="4"/>
      <c r="AB7" s="4">
        <v>1009.391</v>
      </c>
      <c r="AC7" s="4">
        <v>0</v>
      </c>
      <c r="AD7" s="4"/>
      <c r="AE7" s="4"/>
      <c r="AF7" s="4"/>
      <c r="AG7" s="4"/>
      <c r="AH7" s="4">
        <v>1108.335</v>
      </c>
      <c r="AI7" s="4"/>
      <c r="AJ7" s="4">
        <f t="shared" si="0"/>
        <v>121361.61599999999</v>
      </c>
    </row>
    <row r="8" spans="1:38" ht="33" customHeight="1" x14ac:dyDescent="0.3">
      <c r="A8" s="110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>
        <v>0</v>
      </c>
      <c r="AA8" s="4"/>
      <c r="AB8" s="4">
        <v>0</v>
      </c>
      <c r="AC8" s="4">
        <v>260546.71799999999</v>
      </c>
      <c r="AD8" s="4"/>
      <c r="AE8" s="4"/>
      <c r="AF8" s="4"/>
      <c r="AG8" s="4"/>
      <c r="AH8" s="4">
        <v>192.596</v>
      </c>
      <c r="AI8" s="4"/>
      <c r="AJ8" s="4">
        <f t="shared" si="0"/>
        <v>275175.86499999999</v>
      </c>
    </row>
    <row r="9" spans="1:38" ht="33" customHeight="1" x14ac:dyDescent="0.3">
      <c r="A9" s="110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>
        <v>30364.851999999999</v>
      </c>
      <c r="AA9" s="4"/>
      <c r="AB9" s="4">
        <v>0</v>
      </c>
      <c r="AC9" s="4">
        <v>683.36199999999997</v>
      </c>
      <c r="AD9" s="4"/>
      <c r="AE9" s="4"/>
      <c r="AF9" s="4"/>
      <c r="AG9" s="4"/>
      <c r="AH9" s="4">
        <v>34489.231</v>
      </c>
      <c r="AI9" s="4"/>
      <c r="AJ9" s="4">
        <f t="shared" si="0"/>
        <v>179806.57399999999</v>
      </c>
    </row>
    <row r="10" spans="1:38" ht="33" customHeight="1" x14ac:dyDescent="0.3">
      <c r="A10" s="110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>
        <v>103692.954</v>
      </c>
      <c r="AA10" s="4"/>
      <c r="AB10" s="4">
        <v>0</v>
      </c>
      <c r="AC10" s="4">
        <v>0</v>
      </c>
      <c r="AD10" s="4"/>
      <c r="AE10" s="4"/>
      <c r="AF10" s="4"/>
      <c r="AG10" s="4"/>
      <c r="AH10" s="4">
        <v>11206.638000000001</v>
      </c>
      <c r="AI10" s="4"/>
      <c r="AJ10" s="4">
        <f t="shared" si="0"/>
        <v>190141.247</v>
      </c>
    </row>
    <row r="11" spans="1:38" ht="33" customHeight="1" x14ac:dyDescent="0.3">
      <c r="A11" s="110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>
        <v>32987.4141036</v>
      </c>
      <c r="AA11" s="4"/>
      <c r="AB11" s="4">
        <v>0</v>
      </c>
      <c r="AC11" s="4">
        <v>19334.0520894</v>
      </c>
      <c r="AD11" s="4"/>
      <c r="AE11" s="4"/>
      <c r="AF11" s="4"/>
      <c r="AG11" s="4"/>
      <c r="AH11" s="4">
        <v>8162.4795921999994</v>
      </c>
      <c r="AI11" s="4"/>
      <c r="AJ11" s="4">
        <f t="shared" si="0"/>
        <v>124597.65550840001</v>
      </c>
    </row>
    <row r="12" spans="1:38" ht="33" customHeight="1" x14ac:dyDescent="0.3">
      <c r="A12" s="110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>
        <v>74115.437999999995</v>
      </c>
      <c r="AA12" s="4"/>
      <c r="AB12" s="4">
        <v>0</v>
      </c>
      <c r="AC12" s="4">
        <v>0</v>
      </c>
      <c r="AD12" s="4"/>
      <c r="AE12" s="4"/>
      <c r="AF12" s="4"/>
      <c r="AG12" s="4"/>
      <c r="AH12" s="4">
        <v>4694.4139999999998</v>
      </c>
      <c r="AI12" s="4"/>
      <c r="AJ12" s="4">
        <f t="shared" si="0"/>
        <v>188464.76500000001</v>
      </c>
    </row>
    <row r="13" spans="1:38" ht="33" customHeight="1" x14ac:dyDescent="0.3">
      <c r="A13" s="110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>
        <v>131970.416</v>
      </c>
      <c r="AA13" s="4"/>
      <c r="AB13" s="4">
        <v>0</v>
      </c>
      <c r="AC13" s="4">
        <v>31020.904999999999</v>
      </c>
      <c r="AD13" s="4"/>
      <c r="AE13" s="4"/>
      <c r="AF13" s="4"/>
      <c r="AG13" s="4"/>
      <c r="AH13" s="4">
        <v>366.53699999999998</v>
      </c>
      <c r="AI13" s="4"/>
      <c r="AJ13" s="4">
        <f t="shared" si="0"/>
        <v>232016.86000000002</v>
      </c>
    </row>
    <row r="14" spans="1:38" ht="33" customHeight="1" x14ac:dyDescent="0.3">
      <c r="A14" s="110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>
        <v>9510.7369512000005</v>
      </c>
      <c r="AA14" s="4"/>
      <c r="AB14" s="4">
        <v>0</v>
      </c>
      <c r="AC14" s="4">
        <v>78578.603039599999</v>
      </c>
      <c r="AD14" s="4"/>
      <c r="AE14" s="4"/>
      <c r="AF14" s="4"/>
      <c r="AG14" s="4"/>
      <c r="AH14" s="4">
        <v>27312.970383600001</v>
      </c>
      <c r="AI14" s="4"/>
      <c r="AJ14" s="4">
        <f t="shared" si="0"/>
        <v>338248.21692560002</v>
      </c>
    </row>
    <row r="15" spans="1:38" ht="33" customHeight="1" x14ac:dyDescent="0.3">
      <c r="A15" s="110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>
        <v>2343.1669999999999</v>
      </c>
      <c r="AA15" s="4"/>
      <c r="AB15" s="4">
        <v>154168.83600000001</v>
      </c>
      <c r="AC15" s="4">
        <v>0</v>
      </c>
      <c r="AD15" s="4"/>
      <c r="AE15" s="4"/>
      <c r="AF15" s="4"/>
      <c r="AG15" s="4"/>
      <c r="AH15" s="4">
        <v>34.634</v>
      </c>
      <c r="AI15" s="4"/>
      <c r="AJ15" s="4">
        <f t="shared" si="0"/>
        <v>160046.372</v>
      </c>
    </row>
    <row r="16" spans="1:38" ht="33" customHeight="1" x14ac:dyDescent="0.3">
      <c r="A16" s="110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>
        <v>59211.775000000001</v>
      </c>
      <c r="AA16" s="4"/>
      <c r="AB16" s="4">
        <v>70597.013000000006</v>
      </c>
      <c r="AC16" s="4">
        <v>0</v>
      </c>
      <c r="AD16" s="4"/>
      <c r="AE16" s="4"/>
      <c r="AF16" s="4"/>
      <c r="AG16" s="4"/>
      <c r="AH16" s="4">
        <v>229.09</v>
      </c>
      <c r="AI16" s="4"/>
      <c r="AJ16" s="4">
        <f t="shared" si="0"/>
        <v>132374.12899999999</v>
      </c>
    </row>
    <row r="17" spans="1:36" ht="33" customHeight="1" x14ac:dyDescent="0.3">
      <c r="A17" s="110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>
        <v>58562.298000000003</v>
      </c>
      <c r="AA17" s="4"/>
      <c r="AB17" s="4">
        <v>100693.954</v>
      </c>
      <c r="AC17" s="4">
        <v>0</v>
      </c>
      <c r="AD17" s="4"/>
      <c r="AE17" s="4"/>
      <c r="AF17" s="4"/>
      <c r="AG17" s="4"/>
      <c r="AH17" s="4">
        <v>847.43</v>
      </c>
      <c r="AI17" s="4"/>
      <c r="AJ17" s="4">
        <f t="shared" si="0"/>
        <v>167751.88099999999</v>
      </c>
    </row>
    <row r="18" spans="1:36" ht="33" customHeight="1" x14ac:dyDescent="0.3">
      <c r="A18" s="110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>
        <v>84307.258000000002</v>
      </c>
      <c r="AA18" s="4"/>
      <c r="AB18" s="4">
        <v>2193.9859999999999</v>
      </c>
      <c r="AC18" s="4">
        <v>674.22500000000002</v>
      </c>
      <c r="AD18" s="4"/>
      <c r="AE18" s="4"/>
      <c r="AF18" s="4"/>
      <c r="AG18" s="4"/>
      <c r="AH18" s="4">
        <v>2093.6586407999998</v>
      </c>
      <c r="AI18" s="4"/>
      <c r="AJ18" s="4">
        <f t="shared" si="0"/>
        <v>116722.49395760002</v>
      </c>
    </row>
    <row r="19" spans="1:36" ht="33" customHeight="1" x14ac:dyDescent="0.3">
      <c r="A19" s="110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>
        <v>755.73002789999998</v>
      </c>
      <c r="AA19" s="4"/>
      <c r="AB19" s="4">
        <v>0</v>
      </c>
      <c r="AC19" s="4">
        <v>6855.9289983000008</v>
      </c>
      <c r="AD19" s="4"/>
      <c r="AE19" s="4"/>
      <c r="AF19" s="4"/>
      <c r="AG19" s="4"/>
      <c r="AH19" s="4">
        <v>5672.7650109000006</v>
      </c>
      <c r="AI19" s="4"/>
      <c r="AJ19" s="4">
        <f t="shared" si="0"/>
        <v>33844.200369300001</v>
      </c>
    </row>
    <row r="20" spans="1:36" ht="33" customHeight="1" x14ac:dyDescent="0.3">
      <c r="A20" s="110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>
        <v>34734.640716000002</v>
      </c>
      <c r="AA20" s="4"/>
      <c r="AB20" s="4">
        <v>0</v>
      </c>
      <c r="AC20" s="4">
        <v>5857.2966419999993</v>
      </c>
      <c r="AD20" s="4"/>
      <c r="AE20" s="4"/>
      <c r="AF20" s="4"/>
      <c r="AG20" s="4"/>
      <c r="AH20" s="4">
        <v>13774.549794</v>
      </c>
      <c r="AI20" s="4"/>
      <c r="AJ20" s="4">
        <f t="shared" si="0"/>
        <v>110254.13775900002</v>
      </c>
    </row>
    <row r="21" spans="1:36" ht="33" customHeight="1" x14ac:dyDescent="0.3">
      <c r="A21" s="110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>
        <v>2325.0428963999998</v>
      </c>
      <c r="AA21" s="4"/>
      <c r="AB21" s="4">
        <v>0</v>
      </c>
      <c r="AC21" s="4">
        <v>15446.0279106</v>
      </c>
      <c r="AD21" s="4"/>
      <c r="AE21" s="4"/>
      <c r="AF21" s="4"/>
      <c r="AG21" s="4"/>
      <c r="AH21" s="4">
        <v>4249.5384077999997</v>
      </c>
      <c r="AI21" s="4"/>
      <c r="AJ21" s="4">
        <f t="shared" si="0"/>
        <v>39883.651491599994</v>
      </c>
    </row>
    <row r="22" spans="1:36" ht="33" customHeight="1" x14ac:dyDescent="0.3">
      <c r="A22" s="110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>
        <v>308.03704879999998</v>
      </c>
      <c r="AA22" s="4"/>
      <c r="AB22" s="4">
        <v>0</v>
      </c>
      <c r="AC22" s="4">
        <v>12015.987960400002</v>
      </c>
      <c r="AD22" s="4"/>
      <c r="AE22" s="4"/>
      <c r="AF22" s="4"/>
      <c r="AG22" s="4"/>
      <c r="AH22" s="4">
        <v>1830.8726164</v>
      </c>
      <c r="AI22" s="4"/>
      <c r="AJ22" s="4">
        <f t="shared" si="0"/>
        <v>36336.05607440001</v>
      </c>
    </row>
    <row r="23" spans="1:36" ht="33" customHeight="1" x14ac:dyDescent="0.3">
      <c r="A23" s="110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>
        <v>0</v>
      </c>
      <c r="AA23" s="4"/>
      <c r="AB23" s="4">
        <v>0</v>
      </c>
      <c r="AC23" s="4">
        <v>0</v>
      </c>
      <c r="AD23" s="4"/>
      <c r="AE23" s="4"/>
      <c r="AF23" s="4"/>
      <c r="AG23" s="4"/>
      <c r="AH23" s="4">
        <v>0.21635919999999997</v>
      </c>
      <c r="AI23" s="4"/>
      <c r="AJ23" s="4">
        <f t="shared" si="0"/>
        <v>4054.3380424000002</v>
      </c>
    </row>
    <row r="24" spans="1:36" ht="33" customHeight="1" x14ac:dyDescent="0.3">
      <c r="A24" s="110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>
        <f>SUM(C24:AI24)</f>
        <v>913408.76400000008</v>
      </c>
    </row>
    <row r="25" spans="1:36" ht="33" customHeight="1" x14ac:dyDescent="0.3">
      <c r="A25" s="110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S25" s="4">
        <v>3704.7476271</v>
      </c>
      <c r="T25" s="4">
        <v>22084.738151999998</v>
      </c>
      <c r="U25" s="4">
        <v>13140.2856942</v>
      </c>
      <c r="V25" s="4">
        <v>7041.4374747999991</v>
      </c>
      <c r="W25" s="4">
        <v>669.60904879999998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>
        <f>SUM(C25:AI25)</f>
        <v>826673.01199999987</v>
      </c>
    </row>
    <row r="26" spans="1:36" ht="33" customHeight="1" x14ac:dyDescent="0.3">
      <c r="A26" s="110" t="s">
        <v>5</v>
      </c>
      <c r="B26" s="1" t="s">
        <v>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f>SUM(C24:W24)</f>
        <v>913408.76400000008</v>
      </c>
      <c r="Y26" s="4">
        <v>261977.7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>
        <f t="shared" si="0"/>
        <v>1175386.4640000002</v>
      </c>
    </row>
    <row r="27" spans="1:36" ht="33" customHeight="1" x14ac:dyDescent="0.3">
      <c r="A27" s="110"/>
      <c r="B27" s="1" t="s">
        <v>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>
        <v>564695.31200000015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>
        <f t="shared" ref="AJ27:AJ35" si="1">SUM(C27:AI27)</f>
        <v>564695.31200000015</v>
      </c>
    </row>
    <row r="28" spans="1:36" ht="33" customHeight="1" x14ac:dyDescent="0.3">
      <c r="A28" s="110"/>
      <c r="B28" s="1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98638.134000000136</v>
      </c>
      <c r="AB28" s="4"/>
      <c r="AC28" s="6">
        <v>10713.599000000046</v>
      </c>
      <c r="AD28" s="4">
        <v>160659.128</v>
      </c>
      <c r="AE28" s="4">
        <v>72174.278000000006</v>
      </c>
      <c r="AF28" s="4">
        <v>96355.684999999823</v>
      </c>
      <c r="AG28" s="4">
        <v>23757.155999999999</v>
      </c>
      <c r="AH28" s="4"/>
      <c r="AI28" s="4"/>
      <c r="AJ28" s="4">
        <f t="shared" si="1"/>
        <v>462297.98</v>
      </c>
    </row>
    <row r="29" spans="1:36" ht="33" customHeight="1" x14ac:dyDescent="0.3">
      <c r="A29" s="1" t="s">
        <v>10</v>
      </c>
      <c r="B29" s="1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v>393882.9</v>
      </c>
      <c r="AB29" s="4">
        <v>133634.79999999999</v>
      </c>
      <c r="AC29" s="4"/>
      <c r="AD29" s="4"/>
      <c r="AE29" s="4"/>
      <c r="AF29" s="4"/>
      <c r="AG29" s="4"/>
      <c r="AH29" s="4"/>
      <c r="AI29" s="4"/>
      <c r="AJ29" s="4">
        <f t="shared" si="1"/>
        <v>670614.69999999995</v>
      </c>
    </row>
    <row r="30" spans="1:36" ht="33" customHeight="1" x14ac:dyDescent="0.3">
      <c r="A30" s="111" t="s">
        <v>11</v>
      </c>
      <c r="B30" s="1" t="s">
        <v>12</v>
      </c>
      <c r="C30" s="4">
        <v>992.26900000000001</v>
      </c>
      <c r="D30" s="9">
        <v>0</v>
      </c>
      <c r="E30" s="4">
        <v>58307.142289300005</v>
      </c>
      <c r="F30" s="4">
        <v>8266.7734739999996</v>
      </c>
      <c r="G30" s="4">
        <v>2913.6909999999998</v>
      </c>
      <c r="H30" s="4">
        <v>18971.72</v>
      </c>
      <c r="I30" s="9">
        <v>0</v>
      </c>
      <c r="J30" s="4">
        <v>10098.726000000001</v>
      </c>
      <c r="K30" s="4">
        <v>4092.2453339999997</v>
      </c>
      <c r="L30" s="4">
        <v>7172.223</v>
      </c>
      <c r="M30" s="4">
        <v>33101.688999999998</v>
      </c>
      <c r="N30" s="4">
        <v>4518.8054132000007</v>
      </c>
      <c r="O30" s="4">
        <v>3.4260000000000002</v>
      </c>
      <c r="P30" s="4">
        <v>128.41800000000001</v>
      </c>
      <c r="Q30" s="4">
        <v>177.071</v>
      </c>
      <c r="R30" s="4">
        <v>8924.0489464000002</v>
      </c>
      <c r="S30" s="4">
        <v>512.23571070000003</v>
      </c>
      <c r="T30" s="4">
        <v>5088.2725260000007</v>
      </c>
      <c r="U30" s="4">
        <v>685.98066599999993</v>
      </c>
      <c r="V30" s="4">
        <v>357.94758680000001</v>
      </c>
      <c r="W30" s="4">
        <v>2.6520536000000003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>
        <f t="shared" si="1"/>
        <v>164315.33700000003</v>
      </c>
    </row>
    <row r="31" spans="1:36" ht="33" customHeight="1" x14ac:dyDescent="0.3">
      <c r="A31" s="112"/>
      <c r="B31" s="1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>
        <v>72174.278000000006</v>
      </c>
      <c r="AB31" s="4"/>
      <c r="AC31" s="4"/>
      <c r="AD31" s="4"/>
      <c r="AE31" s="4"/>
      <c r="AF31" s="4"/>
      <c r="AG31" s="4"/>
      <c r="AH31" s="4"/>
      <c r="AI31" s="4"/>
      <c r="AJ31" s="4">
        <f t="shared" si="1"/>
        <v>72174.278000000006</v>
      </c>
    </row>
    <row r="32" spans="1:36" ht="33" customHeight="1" x14ac:dyDescent="0.3">
      <c r="A32" s="112"/>
      <c r="B32" s="1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6">
        <v>96355.684999999823</v>
      </c>
      <c r="AA32" s="4"/>
      <c r="AB32" s="4"/>
      <c r="AC32" s="4"/>
      <c r="AD32" s="4"/>
      <c r="AE32" s="4"/>
      <c r="AF32" s="4"/>
      <c r="AG32" s="4"/>
      <c r="AH32" s="4"/>
      <c r="AI32" s="4"/>
      <c r="AJ32" s="4">
        <f t="shared" si="1"/>
        <v>96355.684999999823</v>
      </c>
    </row>
    <row r="33" spans="1:36" ht="33" customHeight="1" x14ac:dyDescent="0.3">
      <c r="A33" s="113"/>
      <c r="B33" s="1" t="s">
        <v>41</v>
      </c>
      <c r="C33" s="4">
        <v>543.61400000000003</v>
      </c>
      <c r="D33" s="4">
        <v>6069.3789999999999</v>
      </c>
      <c r="E33" s="4">
        <v>16859.252943799998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1.0676E-2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0.82699999999999996</v>
      </c>
      <c r="S33" s="4">
        <v>284.06305620000001</v>
      </c>
      <c r="T33" s="4">
        <v>0</v>
      </c>
      <c r="U33" s="4">
        <v>9.3240000000000007E-3</v>
      </c>
      <c r="V33" s="4">
        <v>0</v>
      </c>
      <c r="W33" s="4">
        <v>0</v>
      </c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4">
        <f t="shared" si="1"/>
        <v>23757.156000000003</v>
      </c>
    </row>
    <row r="34" spans="1:36" ht="33" customHeight="1" x14ac:dyDescent="0.3">
      <c r="A34" s="110" t="s">
        <v>18</v>
      </c>
      <c r="B34" s="1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>
        <f>SUM(AH3:AH23)</f>
        <v>761603.0070000001</v>
      </c>
      <c r="AJ34" s="4">
        <f t="shared" si="1"/>
        <v>761603.0070000001</v>
      </c>
    </row>
    <row r="35" spans="1:36" ht="33" customHeight="1" x14ac:dyDescent="0.3">
      <c r="A35" s="110"/>
      <c r="B35" s="1" t="s">
        <v>16</v>
      </c>
      <c r="C35" s="8">
        <v>11582.416999999999</v>
      </c>
      <c r="D35" s="8">
        <v>140621.35</v>
      </c>
      <c r="E35" s="8">
        <v>427720.12769220001</v>
      </c>
      <c r="F35" s="8">
        <v>2378.4344580000002</v>
      </c>
      <c r="G35" s="8">
        <v>177.20099999999999</v>
      </c>
      <c r="H35" s="8">
        <v>35.432000000000002</v>
      </c>
      <c r="I35" s="8">
        <v>24516.612000000001</v>
      </c>
      <c r="J35" s="8">
        <v>18820.819</v>
      </c>
      <c r="K35" s="8">
        <v>6288.0323116</v>
      </c>
      <c r="L35" s="8">
        <v>3965.2249999999999</v>
      </c>
      <c r="M35" s="8">
        <v>1753.3440000000001</v>
      </c>
      <c r="N35" s="8">
        <v>37076.588930799997</v>
      </c>
      <c r="O35" s="8">
        <v>657.35900000000004</v>
      </c>
      <c r="P35" s="8">
        <v>2315.5300000000002</v>
      </c>
      <c r="Q35" s="8">
        <v>361.84199999999998</v>
      </c>
      <c r="R35" s="8">
        <v>6771.4735480000008</v>
      </c>
      <c r="S35" s="8">
        <v>10411.374307800001</v>
      </c>
      <c r="T35" s="8">
        <v>1463.9475419999999</v>
      </c>
      <c r="U35" s="8">
        <v>3255.6526884</v>
      </c>
      <c r="V35" s="8">
        <v>7574.2960691999997</v>
      </c>
      <c r="W35" s="8">
        <v>74.275452000000001</v>
      </c>
      <c r="X35" s="4"/>
      <c r="Y35" s="4"/>
      <c r="Z35" s="4"/>
      <c r="AA35" s="4"/>
      <c r="AB35" s="4"/>
      <c r="AC35" s="6">
        <v>53781.672999999952</v>
      </c>
      <c r="AD35" s="4"/>
      <c r="AE35" s="4"/>
      <c r="AF35" s="4"/>
      <c r="AG35" s="4"/>
      <c r="AH35" s="4"/>
      <c r="AI35" s="4"/>
      <c r="AJ35" s="4">
        <f t="shared" si="1"/>
        <v>761603.00699999998</v>
      </c>
    </row>
    <row r="36" spans="1:36" ht="33" customHeight="1" x14ac:dyDescent="0.3">
      <c r="A36" s="110" t="s">
        <v>17</v>
      </c>
      <c r="B36" s="110"/>
      <c r="C36" s="4">
        <f>SUM(C3:C35)</f>
        <v>75059.411000000022</v>
      </c>
      <c r="D36" s="4">
        <f t="shared" ref="D36:Z36" si="2">SUM(D3:D35)</f>
        <v>151003.99800000002</v>
      </c>
      <c r="E36" s="4">
        <f t="shared" si="2"/>
        <v>2241252.3016307</v>
      </c>
      <c r="F36" s="4">
        <f t="shared" si="2"/>
        <v>179126.80124099998</v>
      </c>
      <c r="G36" s="4">
        <f t="shared" si="2"/>
        <v>121361.61600000004</v>
      </c>
      <c r="H36" s="4">
        <f t="shared" si="2"/>
        <v>275175.86499999993</v>
      </c>
      <c r="I36" s="4">
        <f t="shared" si="2"/>
        <v>183435.967</v>
      </c>
      <c r="J36" s="4">
        <f t="shared" si="2"/>
        <v>190141.24699999994</v>
      </c>
      <c r="K36" s="4">
        <f t="shared" si="2"/>
        <v>124597.6555084</v>
      </c>
      <c r="L36" s="4">
        <f t="shared" si="2"/>
        <v>188464.76500000001</v>
      </c>
      <c r="M36" s="4">
        <f t="shared" si="2"/>
        <v>232016.86000000002</v>
      </c>
      <c r="N36" s="4">
        <f t="shared" si="2"/>
        <v>338248.21692560002</v>
      </c>
      <c r="O36" s="4">
        <f t="shared" si="2"/>
        <v>160046.372</v>
      </c>
      <c r="P36" s="4">
        <f t="shared" si="2"/>
        <v>132374.12900000004</v>
      </c>
      <c r="Q36" s="4">
        <f t="shared" si="2"/>
        <v>167751.88099999999</v>
      </c>
      <c r="R36" s="4">
        <f t="shared" si="2"/>
        <v>116722.49395759999</v>
      </c>
      <c r="S36" s="4">
        <f t="shared" si="2"/>
        <v>33844.200369300001</v>
      </c>
      <c r="T36" s="4">
        <f t="shared" si="2"/>
        <v>110254.13775899998</v>
      </c>
      <c r="U36" s="4">
        <f t="shared" si="2"/>
        <v>39883.651491600001</v>
      </c>
      <c r="V36" s="4">
        <f t="shared" si="2"/>
        <v>36336.056074399996</v>
      </c>
      <c r="W36" s="4">
        <f>SUM(W3:W35)</f>
        <v>4054.3380423999988</v>
      </c>
      <c r="X36" s="4">
        <f t="shared" si="2"/>
        <v>913408.76400000008</v>
      </c>
      <c r="Y36" s="4">
        <f t="shared" si="2"/>
        <v>826673.0120000001</v>
      </c>
      <c r="Z36" s="4">
        <f t="shared" si="2"/>
        <v>1175386.4639999999</v>
      </c>
      <c r="AA36" s="4">
        <f t="shared" ref="AA36:AI36" si="3">SUM(AA3:AA35)</f>
        <v>564695.31200000015</v>
      </c>
      <c r="AB36" s="4">
        <f t="shared" si="3"/>
        <v>462297.98</v>
      </c>
      <c r="AC36" s="4">
        <f t="shared" si="3"/>
        <v>670614.69999999984</v>
      </c>
      <c r="AD36" s="4">
        <f t="shared" si="3"/>
        <v>160659.128</v>
      </c>
      <c r="AE36" s="4">
        <f t="shared" si="3"/>
        <v>72174.278000000006</v>
      </c>
      <c r="AF36" s="4">
        <f t="shared" si="3"/>
        <v>96355.684999999823</v>
      </c>
      <c r="AG36" s="4">
        <f t="shared" si="3"/>
        <v>23757.155999999999</v>
      </c>
      <c r="AH36" s="4">
        <f t="shared" si="3"/>
        <v>761603.0070000001</v>
      </c>
      <c r="AI36" s="4">
        <f t="shared" si="3"/>
        <v>761603.0070000001</v>
      </c>
      <c r="AJ36" s="4"/>
    </row>
    <row r="39" spans="1:36" ht="33" customHeight="1" x14ac:dyDescent="0.3">
      <c r="C39" s="2"/>
    </row>
  </sheetData>
  <mergeCells count="13">
    <mergeCell ref="AJ1:AJ2"/>
    <mergeCell ref="A24:A25"/>
    <mergeCell ref="C1:W1"/>
    <mergeCell ref="X1:Y1"/>
    <mergeCell ref="Z1:AB1"/>
    <mergeCell ref="AH1:AI1"/>
    <mergeCell ref="A1:B2"/>
    <mergeCell ref="AD1:AG1"/>
    <mergeCell ref="A26:A28"/>
    <mergeCell ref="A34:A35"/>
    <mergeCell ref="A36:B36"/>
    <mergeCell ref="A3:A23"/>
    <mergeCell ref="A30:A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55" zoomScaleNormal="55" workbookViewId="0">
      <selection activeCell="AC3" sqref="AC3"/>
    </sheetView>
  </sheetViews>
  <sheetFormatPr defaultRowHeight="17.25" x14ac:dyDescent="0.3"/>
  <cols>
    <col min="1" max="1" width="30.5546875" bestFit="1" customWidth="1"/>
    <col min="2" max="3" width="9" bestFit="1" customWidth="1"/>
    <col min="4" max="4" width="11.109375" bestFit="1" customWidth="1"/>
    <col min="5" max="25" width="9" bestFit="1" customWidth="1"/>
    <col min="26" max="26" width="11.109375" bestFit="1" customWidth="1"/>
    <col min="27" max="36" width="9" bestFit="1" customWidth="1"/>
    <col min="37" max="37" width="10" bestFit="1" customWidth="1"/>
  </cols>
  <sheetData>
    <row r="1" spans="1:37" x14ac:dyDescent="0.3">
      <c r="A1" s="58"/>
      <c r="B1" s="59" t="s">
        <v>19</v>
      </c>
      <c r="C1" s="59" t="s">
        <v>20</v>
      </c>
      <c r="D1" s="59" t="s">
        <v>21</v>
      </c>
      <c r="E1" s="59" t="s">
        <v>22</v>
      </c>
      <c r="F1" s="59" t="s">
        <v>23</v>
      </c>
      <c r="G1" s="59" t="s">
        <v>24</v>
      </c>
      <c r="H1" s="59" t="s">
        <v>25</v>
      </c>
      <c r="I1" s="59" t="s">
        <v>26</v>
      </c>
      <c r="J1" s="59" t="s">
        <v>27</v>
      </c>
      <c r="K1" s="59" t="s">
        <v>28</v>
      </c>
      <c r="L1" s="59" t="s">
        <v>29</v>
      </c>
      <c r="M1" s="59" t="s">
        <v>30</v>
      </c>
      <c r="N1" s="59" t="s">
        <v>31</v>
      </c>
      <c r="O1" s="59" t="s">
        <v>32</v>
      </c>
      <c r="P1" s="59" t="s">
        <v>33</v>
      </c>
      <c r="Q1" s="59" t="s">
        <v>34</v>
      </c>
      <c r="R1" s="59" t="s">
        <v>35</v>
      </c>
      <c r="S1" s="59" t="s">
        <v>36</v>
      </c>
      <c r="T1" s="59" t="s">
        <v>37</v>
      </c>
      <c r="U1" s="59" t="s">
        <v>38</v>
      </c>
      <c r="V1" s="59" t="s">
        <v>39</v>
      </c>
      <c r="W1" s="59" t="s">
        <v>197</v>
      </c>
      <c r="X1" s="59" t="s">
        <v>198</v>
      </c>
      <c r="Y1" s="59" t="s">
        <v>199</v>
      </c>
      <c r="Z1" s="59" t="s">
        <v>200</v>
      </c>
      <c r="AA1" s="59" t="s">
        <v>201</v>
      </c>
      <c r="AB1" s="59" t="s">
        <v>202</v>
      </c>
      <c r="AC1" s="59" t="s">
        <v>203</v>
      </c>
      <c r="AD1" s="59" t="s">
        <v>204</v>
      </c>
      <c r="AE1" s="59" t="s">
        <v>205</v>
      </c>
      <c r="AF1" s="59" t="s">
        <v>206</v>
      </c>
      <c r="AG1" s="59" t="s">
        <v>207</v>
      </c>
      <c r="AH1" s="59" t="s">
        <v>208</v>
      </c>
      <c r="AI1" s="59" t="s">
        <v>209</v>
      </c>
      <c r="AJ1" s="59" t="s">
        <v>210</v>
      </c>
      <c r="AK1" s="60" t="s">
        <v>211</v>
      </c>
    </row>
    <row r="2" spans="1:37" x14ac:dyDescent="0.3">
      <c r="A2" s="59" t="s">
        <v>19</v>
      </c>
      <c r="B2" s="61">
        <v>4399.8925362915597</v>
      </c>
      <c r="C2" s="61">
        <v>4.595819078317871</v>
      </c>
      <c r="D2" s="61">
        <v>34151.208127858197</v>
      </c>
      <c r="E2" s="61">
        <v>52.948767214549093</v>
      </c>
      <c r="F2" s="61">
        <v>12.34333360037019</v>
      </c>
      <c r="G2" s="61">
        <v>370.54982215860718</v>
      </c>
      <c r="H2" s="61">
        <v>23.554130882614619</v>
      </c>
      <c r="I2" s="61">
        <v>9900.8620605869219</v>
      </c>
      <c r="J2" s="61">
        <v>21.583302174727461</v>
      </c>
      <c r="K2" s="61">
        <v>40.384665634092677</v>
      </c>
      <c r="L2" s="61">
        <v>10.27901285199729</v>
      </c>
      <c r="M2" s="61">
        <v>300.54460445108839</v>
      </c>
      <c r="N2" s="61">
        <v>305.9849577021115</v>
      </c>
      <c r="O2" s="61">
        <v>94.424077784164012</v>
      </c>
      <c r="P2" s="61">
        <v>1201.4178221376139</v>
      </c>
      <c r="Q2" s="61">
        <v>227.72775992896089</v>
      </c>
      <c r="R2" s="61">
        <v>2.1754775517774059</v>
      </c>
      <c r="S2" s="61">
        <v>32.583720087248949</v>
      </c>
      <c r="T2" s="61">
        <v>3.4735086099283681</v>
      </c>
      <c r="U2" s="61">
        <v>146.9094558592995</v>
      </c>
      <c r="V2" s="61">
        <v>5.6445514287794039</v>
      </c>
      <c r="W2" s="61">
        <v>0</v>
      </c>
      <c r="X2" s="61">
        <v>0</v>
      </c>
      <c r="Y2" s="61">
        <v>0</v>
      </c>
      <c r="Z2" s="61">
        <v>19223.924968678341</v>
      </c>
      <c r="AA2" s="61">
        <v>0</v>
      </c>
      <c r="AB2" s="61">
        <v>0</v>
      </c>
      <c r="AC2" s="61">
        <v>361.68043307305231</v>
      </c>
      <c r="AD2" s="61">
        <v>0</v>
      </c>
      <c r="AE2" s="61">
        <v>0</v>
      </c>
      <c r="AF2" s="61">
        <v>0</v>
      </c>
      <c r="AG2" s="61">
        <v>0</v>
      </c>
      <c r="AH2" s="61">
        <v>0</v>
      </c>
      <c r="AI2" s="61">
        <v>1145.805084375691</v>
      </c>
      <c r="AJ2" s="61">
        <v>0</v>
      </c>
      <c r="AK2" s="61">
        <v>72040.498000000007</v>
      </c>
    </row>
    <row r="3" spans="1:37" x14ac:dyDescent="0.3">
      <c r="A3" s="59" t="s">
        <v>20</v>
      </c>
      <c r="B3" s="61">
        <v>13.55301229708304</v>
      </c>
      <c r="C3" s="61">
        <v>52.103521488821173</v>
      </c>
      <c r="D3" s="61">
        <v>86425.511568539645</v>
      </c>
      <c r="E3" s="61">
        <v>0</v>
      </c>
      <c r="F3" s="61">
        <v>13528.249700657399</v>
      </c>
      <c r="G3" s="61">
        <v>5209.0495338892588</v>
      </c>
      <c r="H3" s="61">
        <v>0</v>
      </c>
      <c r="I3" s="61">
        <v>53.289598891698972</v>
      </c>
      <c r="J3" s="61">
        <v>0</v>
      </c>
      <c r="K3" s="61">
        <v>0</v>
      </c>
      <c r="L3" s="61">
        <v>3.3532416433298211</v>
      </c>
      <c r="M3" s="61">
        <v>274.47033001050818</v>
      </c>
      <c r="N3" s="61">
        <v>132.3575922001996</v>
      </c>
      <c r="O3" s="61">
        <v>2.3675574461285982</v>
      </c>
      <c r="P3" s="61">
        <v>216.99016572125231</v>
      </c>
      <c r="Q3" s="61">
        <v>53.065372498255932</v>
      </c>
      <c r="R3" s="61">
        <v>0</v>
      </c>
      <c r="S3" s="61">
        <v>0</v>
      </c>
      <c r="T3" s="61">
        <v>0</v>
      </c>
      <c r="U3" s="61">
        <v>13.86302286233061</v>
      </c>
      <c r="V3" s="61">
        <v>0</v>
      </c>
      <c r="W3" s="61">
        <v>0</v>
      </c>
      <c r="X3" s="61">
        <v>0</v>
      </c>
      <c r="Y3" s="61">
        <v>0</v>
      </c>
      <c r="Z3" s="61">
        <v>367.72779798933237</v>
      </c>
      <c r="AA3" s="61">
        <v>0</v>
      </c>
      <c r="AB3" s="61">
        <v>0</v>
      </c>
      <c r="AC3" s="61">
        <v>41951.167101322877</v>
      </c>
      <c r="AD3" s="61">
        <v>0</v>
      </c>
      <c r="AE3" s="61">
        <v>0</v>
      </c>
      <c r="AF3" s="61">
        <v>0</v>
      </c>
      <c r="AG3" s="61">
        <v>0</v>
      </c>
      <c r="AH3" s="61">
        <v>0</v>
      </c>
      <c r="AI3" s="61">
        <v>2683.0468825418652</v>
      </c>
      <c r="AJ3" s="61">
        <v>0</v>
      </c>
      <c r="AK3" s="61">
        <v>150980.166</v>
      </c>
    </row>
    <row r="4" spans="1:37" x14ac:dyDescent="0.3">
      <c r="A4" s="59" t="s">
        <v>21</v>
      </c>
      <c r="B4" s="61">
        <v>16897.381419499161</v>
      </c>
      <c r="C4" s="61">
        <v>650.53391358742203</v>
      </c>
      <c r="D4" s="61">
        <v>587783.46752039006</v>
      </c>
      <c r="E4" s="61">
        <v>11759.512945019551</v>
      </c>
      <c r="F4" s="61">
        <v>13534.373262982441</v>
      </c>
      <c r="G4" s="61">
        <v>99312.19844065464</v>
      </c>
      <c r="H4" s="61">
        <v>34686.050308873557</v>
      </c>
      <c r="I4" s="61">
        <v>53938.538451631743</v>
      </c>
      <c r="J4" s="61">
        <v>5825.7453970016468</v>
      </c>
      <c r="K4" s="61">
        <v>4066.1926153041309</v>
      </c>
      <c r="L4" s="61">
        <v>4076.523936968505</v>
      </c>
      <c r="M4" s="61">
        <v>30961.269596950679</v>
      </c>
      <c r="N4" s="61">
        <v>8964.7064115059184</v>
      </c>
      <c r="O4" s="61">
        <v>7436.7775668974064</v>
      </c>
      <c r="P4" s="61">
        <v>33067.791454995349</v>
      </c>
      <c r="Q4" s="61">
        <v>24145.488682955671</v>
      </c>
      <c r="R4" s="61">
        <v>7608.8745034690519</v>
      </c>
      <c r="S4" s="61">
        <v>7236.5929996122231</v>
      </c>
      <c r="T4" s="61">
        <v>1427.934437400668</v>
      </c>
      <c r="U4" s="61">
        <v>2254.4478950818252</v>
      </c>
      <c r="V4" s="61">
        <v>296.6923565351841</v>
      </c>
      <c r="W4" s="61">
        <v>0</v>
      </c>
      <c r="X4" s="61">
        <v>0</v>
      </c>
      <c r="Y4" s="61">
        <v>0</v>
      </c>
      <c r="Z4" s="61">
        <v>215623.49329531071</v>
      </c>
      <c r="AA4" s="61">
        <v>0</v>
      </c>
      <c r="AB4" s="61">
        <v>0</v>
      </c>
      <c r="AC4" s="61">
        <v>144172.8543250958</v>
      </c>
      <c r="AD4" s="61">
        <v>0</v>
      </c>
      <c r="AE4" s="61">
        <v>0</v>
      </c>
      <c r="AF4" s="61">
        <v>0</v>
      </c>
      <c r="AG4" s="61">
        <v>0</v>
      </c>
      <c r="AH4" s="61">
        <v>0</v>
      </c>
      <c r="AI4" s="61">
        <v>618894.43178437673</v>
      </c>
      <c r="AJ4" s="61">
        <v>0</v>
      </c>
      <c r="AK4" s="61">
        <v>1934621.8735221005</v>
      </c>
    </row>
    <row r="5" spans="1:37" x14ac:dyDescent="0.3">
      <c r="A5" s="59" t="s">
        <v>22</v>
      </c>
      <c r="B5" s="61">
        <v>1434.7420803751941</v>
      </c>
      <c r="C5" s="61">
        <v>34.535819990649863</v>
      </c>
      <c r="D5" s="61">
        <v>40784.105784605897</v>
      </c>
      <c r="E5" s="61">
        <v>4578.2749018617669</v>
      </c>
      <c r="F5" s="61">
        <v>782.84368819104895</v>
      </c>
      <c r="G5" s="61">
        <v>5290.1345882471614</v>
      </c>
      <c r="H5" s="61">
        <v>1824.762433276059</v>
      </c>
      <c r="I5" s="61">
        <v>8846.7199602972123</v>
      </c>
      <c r="J5" s="61">
        <v>5254.7958376311826</v>
      </c>
      <c r="K5" s="61">
        <v>609.37427825223483</v>
      </c>
      <c r="L5" s="61">
        <v>417.44332995206838</v>
      </c>
      <c r="M5" s="61">
        <v>3223.4382151611871</v>
      </c>
      <c r="N5" s="61">
        <v>1061.2076612610681</v>
      </c>
      <c r="O5" s="61">
        <v>1226.6855234685829</v>
      </c>
      <c r="P5" s="61">
        <v>7364.5907773960698</v>
      </c>
      <c r="Q5" s="61">
        <v>3255.0735756357071</v>
      </c>
      <c r="R5" s="61">
        <v>643.00438520253215</v>
      </c>
      <c r="S5" s="61">
        <v>2817.388123131826</v>
      </c>
      <c r="T5" s="61">
        <v>302.58145976000532</v>
      </c>
      <c r="U5" s="61">
        <v>276.95857812814018</v>
      </c>
      <c r="V5" s="61">
        <v>45.979079224954539</v>
      </c>
      <c r="W5" s="61">
        <v>0</v>
      </c>
      <c r="X5" s="61">
        <v>0</v>
      </c>
      <c r="Y5" s="61">
        <v>0</v>
      </c>
      <c r="Z5" s="61">
        <v>56316.920503091947</v>
      </c>
      <c r="AA5" s="61">
        <v>0</v>
      </c>
      <c r="AB5" s="61">
        <v>0</v>
      </c>
      <c r="AC5" s="61">
        <v>8316.871834446456</v>
      </c>
      <c r="AD5" s="61">
        <v>0</v>
      </c>
      <c r="AE5" s="61">
        <v>0</v>
      </c>
      <c r="AF5" s="61">
        <v>0</v>
      </c>
      <c r="AG5" s="61">
        <v>0</v>
      </c>
      <c r="AH5" s="61">
        <v>0</v>
      </c>
      <c r="AI5" s="61">
        <v>22039.934364411081</v>
      </c>
      <c r="AJ5" s="61">
        <v>0</v>
      </c>
      <c r="AK5" s="61">
        <v>176748.366783</v>
      </c>
    </row>
    <row r="6" spans="1:37" x14ac:dyDescent="0.3">
      <c r="A6" s="59" t="s">
        <v>23</v>
      </c>
      <c r="B6" s="61">
        <v>896.20175427808135</v>
      </c>
      <c r="C6" s="61">
        <v>104.9913345748926</v>
      </c>
      <c r="D6" s="61">
        <v>36856.000415372713</v>
      </c>
      <c r="E6" s="61">
        <v>2447.7355756366551</v>
      </c>
      <c r="F6" s="61">
        <v>17510.7674407706</v>
      </c>
      <c r="G6" s="61">
        <v>1066.7279455719211</v>
      </c>
      <c r="H6" s="61">
        <v>2644.0293678603521</v>
      </c>
      <c r="I6" s="61">
        <v>5277.9853829333724</v>
      </c>
      <c r="J6" s="61">
        <v>1286.4357248048971</v>
      </c>
      <c r="K6" s="61">
        <v>1457.5121219962309</v>
      </c>
      <c r="L6" s="61">
        <v>3313.2084655834469</v>
      </c>
      <c r="M6" s="61">
        <v>8144.8039048855162</v>
      </c>
      <c r="N6" s="61">
        <v>1772.192638391813</v>
      </c>
      <c r="O6" s="61">
        <v>3961.084803428173</v>
      </c>
      <c r="P6" s="61">
        <v>5231.4431966375278</v>
      </c>
      <c r="Q6" s="61">
        <v>2740.938510115483</v>
      </c>
      <c r="R6" s="61">
        <v>187.48777240381551</v>
      </c>
      <c r="S6" s="61">
        <v>1506.2924981987369</v>
      </c>
      <c r="T6" s="61">
        <v>162.91789682967169</v>
      </c>
      <c r="U6" s="61">
        <v>555.491290869767</v>
      </c>
      <c r="V6" s="61">
        <v>45.673412812529719</v>
      </c>
      <c r="W6" s="61">
        <v>0</v>
      </c>
      <c r="X6" s="61">
        <v>0</v>
      </c>
      <c r="Y6" s="61">
        <v>0</v>
      </c>
      <c r="Z6" s="61">
        <v>22031.766001544689</v>
      </c>
      <c r="AA6" s="61">
        <v>0</v>
      </c>
      <c r="AB6" s="61">
        <v>987.23033761918771</v>
      </c>
      <c r="AC6" s="61">
        <v>0</v>
      </c>
      <c r="AD6" s="61">
        <v>0</v>
      </c>
      <c r="AE6" s="61">
        <v>0</v>
      </c>
      <c r="AF6" s="61">
        <v>0</v>
      </c>
      <c r="AG6" s="61">
        <v>0</v>
      </c>
      <c r="AH6" s="61">
        <v>0</v>
      </c>
      <c r="AI6" s="61">
        <v>1065.2672068799741</v>
      </c>
      <c r="AJ6" s="61">
        <v>0</v>
      </c>
      <c r="AK6" s="61">
        <v>121254.18500000001</v>
      </c>
    </row>
    <row r="7" spans="1:37" x14ac:dyDescent="0.3">
      <c r="A7" s="59" t="s">
        <v>24</v>
      </c>
      <c r="B7" s="61">
        <v>92.781334333772449</v>
      </c>
      <c r="C7" s="61">
        <v>18.649591411959861</v>
      </c>
      <c r="D7" s="61">
        <v>1358.030755192133</v>
      </c>
      <c r="E7" s="61">
        <v>221.47521254444311</v>
      </c>
      <c r="F7" s="61">
        <v>676.93318657045268</v>
      </c>
      <c r="G7" s="61">
        <v>102.4465760431686</v>
      </c>
      <c r="H7" s="61">
        <v>254.15502812639269</v>
      </c>
      <c r="I7" s="61">
        <v>400.52399044539402</v>
      </c>
      <c r="J7" s="61">
        <v>273.19016015640273</v>
      </c>
      <c r="K7" s="61">
        <v>108.6483707976421</v>
      </c>
      <c r="L7" s="61">
        <v>11340.565995236981</v>
      </c>
      <c r="M7" s="61">
        <v>770.19638327444841</v>
      </c>
      <c r="N7" s="61">
        <v>967.10239176741106</v>
      </c>
      <c r="O7" s="61">
        <v>203.7485434537993</v>
      </c>
      <c r="P7" s="61">
        <v>135.3566364860468</v>
      </c>
      <c r="Q7" s="61">
        <v>268.19201910130272</v>
      </c>
      <c r="R7" s="61">
        <v>16.44947140570812</v>
      </c>
      <c r="S7" s="61">
        <v>136.29186686388371</v>
      </c>
      <c r="T7" s="61">
        <v>37.215212440911202</v>
      </c>
      <c r="U7" s="61">
        <v>91.457023615335871</v>
      </c>
      <c r="V7" s="61">
        <v>3.863844224715141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257479.49852839691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214.4738781108085</v>
      </c>
      <c r="AJ7" s="61">
        <v>0</v>
      </c>
      <c r="AK7" s="61">
        <v>275171.24600000004</v>
      </c>
    </row>
    <row r="8" spans="1:37" x14ac:dyDescent="0.3">
      <c r="A8" s="59" t="s">
        <v>25</v>
      </c>
      <c r="B8" s="61">
        <v>734.93458916293116</v>
      </c>
      <c r="C8" s="61">
        <v>610.63005468460426</v>
      </c>
      <c r="D8" s="61">
        <v>45869.752084368272</v>
      </c>
      <c r="E8" s="61">
        <v>13382.45366733958</v>
      </c>
      <c r="F8" s="61">
        <v>1929.0272198018549</v>
      </c>
      <c r="G8" s="61">
        <v>2475.95197886306</v>
      </c>
      <c r="H8" s="61">
        <v>10727.404017793369</v>
      </c>
      <c r="I8" s="61">
        <v>1180.199737575638</v>
      </c>
      <c r="J8" s="61">
        <v>1811.93011305242</v>
      </c>
      <c r="K8" s="61">
        <v>873.49219587467564</v>
      </c>
      <c r="L8" s="61">
        <v>614.88296122961049</v>
      </c>
      <c r="M8" s="61">
        <v>4834.3962342709347</v>
      </c>
      <c r="N8" s="61">
        <v>2436.6350883187711</v>
      </c>
      <c r="O8" s="61">
        <v>470.53849276614369</v>
      </c>
      <c r="P8" s="61">
        <v>613.68536286892095</v>
      </c>
      <c r="Q8" s="61">
        <v>1226.8945434165089</v>
      </c>
      <c r="R8" s="61">
        <v>535.80344175788503</v>
      </c>
      <c r="S8" s="61">
        <v>8235.3215630174964</v>
      </c>
      <c r="T8" s="61">
        <v>859.86785576632701</v>
      </c>
      <c r="U8" s="61">
        <v>738.89596762086717</v>
      </c>
      <c r="V8" s="61">
        <v>69.730899293511328</v>
      </c>
      <c r="W8" s="61">
        <v>0</v>
      </c>
      <c r="X8" s="61">
        <v>0</v>
      </c>
      <c r="Y8" s="61">
        <v>0</v>
      </c>
      <c r="Z8" s="61">
        <v>30104.703017715579</v>
      </c>
      <c r="AA8" s="61">
        <v>0</v>
      </c>
      <c r="AB8" s="61">
        <v>0</v>
      </c>
      <c r="AC8" s="61">
        <v>593.33600810935684</v>
      </c>
      <c r="AD8" s="61">
        <v>0</v>
      </c>
      <c r="AE8" s="61">
        <v>0</v>
      </c>
      <c r="AF8" s="61">
        <v>0</v>
      </c>
      <c r="AG8" s="61">
        <v>0</v>
      </c>
      <c r="AH8" s="61">
        <v>0</v>
      </c>
      <c r="AI8" s="61">
        <v>33744.537905331701</v>
      </c>
      <c r="AJ8" s="61">
        <v>0</v>
      </c>
      <c r="AK8" s="61">
        <v>164675.00500000003</v>
      </c>
    </row>
    <row r="9" spans="1:37" x14ac:dyDescent="0.3">
      <c r="A9" s="59" t="s">
        <v>26</v>
      </c>
      <c r="B9" s="61">
        <v>574.05218022879853</v>
      </c>
      <c r="C9" s="61">
        <v>95.083653152476074</v>
      </c>
      <c r="D9" s="61">
        <v>11376.270465166141</v>
      </c>
      <c r="E9" s="61">
        <v>7706.1360845616982</v>
      </c>
      <c r="F9" s="61">
        <v>1011.9743999922</v>
      </c>
      <c r="G9" s="61">
        <v>1162.344119763256</v>
      </c>
      <c r="H9" s="61">
        <v>2138.9598387787291</v>
      </c>
      <c r="I9" s="61">
        <v>1909.8267769751981</v>
      </c>
      <c r="J9" s="61">
        <v>1949.2838776895269</v>
      </c>
      <c r="K9" s="61">
        <v>4783.4887137908736</v>
      </c>
      <c r="L9" s="61">
        <v>1805.285088482598</v>
      </c>
      <c r="M9" s="61">
        <v>10793.696724999631</v>
      </c>
      <c r="N9" s="61">
        <v>2846.4942496021531</v>
      </c>
      <c r="O9" s="61">
        <v>8077.0012305861856</v>
      </c>
      <c r="P9" s="61">
        <v>6079.2207823652016</v>
      </c>
      <c r="Q9" s="61">
        <v>5217.1398014234064</v>
      </c>
      <c r="R9" s="61">
        <v>220.783517515971</v>
      </c>
      <c r="S9" s="61">
        <v>4742.2177010499381</v>
      </c>
      <c r="T9" s="61">
        <v>470.2487910799756</v>
      </c>
      <c r="U9" s="61">
        <v>979.26108864238961</v>
      </c>
      <c r="V9" s="61">
        <v>823.23291180076058</v>
      </c>
      <c r="W9" s="61">
        <v>0</v>
      </c>
      <c r="X9" s="61">
        <v>0</v>
      </c>
      <c r="Y9" s="61">
        <v>0</v>
      </c>
      <c r="Z9" s="61">
        <v>102562.9079359639</v>
      </c>
      <c r="AA9" s="61">
        <v>0</v>
      </c>
      <c r="AB9" s="61">
        <v>0</v>
      </c>
      <c r="AC9" s="61">
        <v>0</v>
      </c>
      <c r="AD9" s="61">
        <v>0</v>
      </c>
      <c r="AE9" s="61">
        <v>0</v>
      </c>
      <c r="AF9" s="61">
        <v>0</v>
      </c>
      <c r="AG9" s="61">
        <v>0</v>
      </c>
      <c r="AH9" s="61">
        <v>0</v>
      </c>
      <c r="AI9" s="61">
        <v>10938.889066389051</v>
      </c>
      <c r="AJ9" s="61">
        <v>0</v>
      </c>
      <c r="AK9" s="61">
        <v>188263.79900000009</v>
      </c>
    </row>
    <row r="10" spans="1:37" x14ac:dyDescent="0.3">
      <c r="A10" s="59" t="s">
        <v>27</v>
      </c>
      <c r="B10" s="61">
        <v>194.901602973705</v>
      </c>
      <c r="C10" s="61">
        <v>15.372619787189951</v>
      </c>
      <c r="D10" s="61">
        <v>3865.0274124078092</v>
      </c>
      <c r="E10" s="61">
        <v>6085.8100429155302</v>
      </c>
      <c r="F10" s="61">
        <v>391.47804167182647</v>
      </c>
      <c r="G10" s="61">
        <v>409.0250862035528</v>
      </c>
      <c r="H10" s="61">
        <v>1497.9008423010221</v>
      </c>
      <c r="I10" s="61">
        <v>1356.0073794298719</v>
      </c>
      <c r="J10" s="61">
        <v>11137.816103502149</v>
      </c>
      <c r="K10" s="61">
        <v>6908.440685996251</v>
      </c>
      <c r="L10" s="61">
        <v>880.8596665867276</v>
      </c>
      <c r="M10" s="61">
        <v>14932.32970020318</v>
      </c>
      <c r="N10" s="61">
        <v>1929.9091886403239</v>
      </c>
      <c r="O10" s="61">
        <v>2569.3854932800582</v>
      </c>
      <c r="P10" s="61">
        <v>556.71483736227458</v>
      </c>
      <c r="Q10" s="61">
        <v>2378.6846657846208</v>
      </c>
      <c r="R10" s="61">
        <v>73.885628900156448</v>
      </c>
      <c r="S10" s="61">
        <v>3745.0981651569518</v>
      </c>
      <c r="T10" s="61">
        <v>1912.952086196856</v>
      </c>
      <c r="U10" s="61">
        <v>520.69821869943905</v>
      </c>
      <c r="V10" s="61">
        <v>156.8595089559536</v>
      </c>
      <c r="W10" s="61">
        <v>0</v>
      </c>
      <c r="X10" s="61">
        <v>0</v>
      </c>
      <c r="Y10" s="61">
        <v>0</v>
      </c>
      <c r="Z10" s="61">
        <v>33162.699842101691</v>
      </c>
      <c r="AA10" s="61">
        <v>0</v>
      </c>
      <c r="AB10" s="61">
        <v>0</v>
      </c>
      <c r="AC10" s="61">
        <v>17022.023814097261</v>
      </c>
      <c r="AD10" s="61">
        <v>0</v>
      </c>
      <c r="AE10" s="61">
        <v>0</v>
      </c>
      <c r="AF10" s="61">
        <v>0</v>
      </c>
      <c r="AG10" s="61">
        <v>0</v>
      </c>
      <c r="AH10" s="61">
        <v>0</v>
      </c>
      <c r="AI10" s="61">
        <v>8098.0510806456514</v>
      </c>
      <c r="AJ10" s="61">
        <v>0</v>
      </c>
      <c r="AK10" s="61">
        <v>119801.93171380006</v>
      </c>
    </row>
    <row r="11" spans="1:37" x14ac:dyDescent="0.3">
      <c r="A11" s="59" t="s">
        <v>28</v>
      </c>
      <c r="B11" s="61">
        <v>1192.4667434046869</v>
      </c>
      <c r="C11" s="61">
        <v>183.74433983156871</v>
      </c>
      <c r="D11" s="61">
        <v>17826.51517021902</v>
      </c>
      <c r="E11" s="61">
        <v>5055.4393146090524</v>
      </c>
      <c r="F11" s="61">
        <v>2201.775815216175</v>
      </c>
      <c r="G11" s="61">
        <v>5228.5485444992883</v>
      </c>
      <c r="H11" s="61">
        <v>2439.808082682589</v>
      </c>
      <c r="I11" s="61">
        <v>3216.59029063347</v>
      </c>
      <c r="J11" s="61">
        <v>1432.626386847169</v>
      </c>
      <c r="K11" s="61">
        <v>27484.407451894898</v>
      </c>
      <c r="L11" s="61">
        <v>20920.60284047082</v>
      </c>
      <c r="M11" s="61">
        <v>4992.0108455156051</v>
      </c>
      <c r="N11" s="61">
        <v>4869.1561123593974</v>
      </c>
      <c r="O11" s="61">
        <v>1667.1934887439961</v>
      </c>
      <c r="P11" s="61">
        <v>3714.0318158306218</v>
      </c>
      <c r="Q11" s="61">
        <v>2022.146393363857</v>
      </c>
      <c r="R11" s="61">
        <v>290.73941963355782</v>
      </c>
      <c r="S11" s="61">
        <v>3111.0265301896488</v>
      </c>
      <c r="T11" s="61">
        <v>347.67788214190011</v>
      </c>
      <c r="U11" s="61">
        <v>249.86959279520221</v>
      </c>
      <c r="V11" s="61">
        <v>126.22346661376601</v>
      </c>
      <c r="W11" s="61">
        <v>0</v>
      </c>
      <c r="X11" s="61">
        <v>0</v>
      </c>
      <c r="Y11" s="61">
        <v>0</v>
      </c>
      <c r="Z11" s="61">
        <v>72328.970675618781</v>
      </c>
      <c r="AA11" s="61">
        <v>0</v>
      </c>
      <c r="AB11" s="61">
        <v>0</v>
      </c>
      <c r="AC11" s="61">
        <v>0</v>
      </c>
      <c r="AD11" s="61">
        <v>0</v>
      </c>
      <c r="AE11" s="61">
        <v>0</v>
      </c>
      <c r="AF11" s="61">
        <v>0</v>
      </c>
      <c r="AG11" s="61">
        <v>0</v>
      </c>
      <c r="AH11" s="61">
        <v>0</v>
      </c>
      <c r="AI11" s="61">
        <v>4521.0757968848939</v>
      </c>
      <c r="AJ11" s="61">
        <v>0</v>
      </c>
      <c r="AK11" s="61">
        <v>185422.64699999994</v>
      </c>
    </row>
    <row r="12" spans="1:37" x14ac:dyDescent="0.3">
      <c r="A12" s="59" t="s">
        <v>29</v>
      </c>
      <c r="B12" s="61">
        <v>67.541987317464006</v>
      </c>
      <c r="C12" s="61">
        <v>7.7504216679453029</v>
      </c>
      <c r="D12" s="61">
        <v>3764.5172795967842</v>
      </c>
      <c r="E12" s="61">
        <v>10006.954869670561</v>
      </c>
      <c r="F12" s="61">
        <v>628.99999970526358</v>
      </c>
      <c r="G12" s="61">
        <v>815.71219229794497</v>
      </c>
      <c r="H12" s="61">
        <v>1591.29527282189</v>
      </c>
      <c r="I12" s="61">
        <v>11653.797403394041</v>
      </c>
      <c r="J12" s="61">
        <v>1318.8820450919809</v>
      </c>
      <c r="K12" s="61">
        <v>7630.5792754404074</v>
      </c>
      <c r="L12" s="61">
        <v>8786.5637495417468</v>
      </c>
      <c r="M12" s="61">
        <v>7664.8102609375437</v>
      </c>
      <c r="N12" s="61">
        <v>688.52296732661034</v>
      </c>
      <c r="O12" s="61">
        <v>2303.5703077290291</v>
      </c>
      <c r="P12" s="61">
        <v>4148.7211892527503</v>
      </c>
      <c r="Q12" s="61">
        <v>2269.7478052748811</v>
      </c>
      <c r="R12" s="61">
        <v>72.487704415767382</v>
      </c>
      <c r="S12" s="61">
        <v>6158.1002458068133</v>
      </c>
      <c r="T12" s="61">
        <v>411.73977838674273</v>
      </c>
      <c r="U12" s="61">
        <v>421.56216438646322</v>
      </c>
      <c r="V12" s="61">
        <v>188.4325151468671</v>
      </c>
      <c r="W12" s="61">
        <v>0</v>
      </c>
      <c r="X12" s="61">
        <v>0</v>
      </c>
      <c r="Y12" s="61">
        <v>0</v>
      </c>
      <c r="Z12" s="61">
        <v>132463.75742888119</v>
      </c>
      <c r="AA12" s="61">
        <v>0</v>
      </c>
      <c r="AB12" s="61">
        <v>0</v>
      </c>
      <c r="AC12" s="61">
        <v>27268.525176862149</v>
      </c>
      <c r="AD12" s="61">
        <v>0</v>
      </c>
      <c r="AE12" s="61">
        <v>0</v>
      </c>
      <c r="AF12" s="61">
        <v>0</v>
      </c>
      <c r="AG12" s="61">
        <v>0</v>
      </c>
      <c r="AH12" s="61">
        <v>0</v>
      </c>
      <c r="AI12" s="61">
        <v>363.07395904715497</v>
      </c>
      <c r="AJ12" s="61">
        <v>0</v>
      </c>
      <c r="AK12" s="61">
        <v>230695.64599999998</v>
      </c>
    </row>
    <row r="13" spans="1:37" x14ac:dyDescent="0.3">
      <c r="A13" s="59" t="s">
        <v>30</v>
      </c>
      <c r="B13" s="61">
        <v>1300.3982889420031</v>
      </c>
      <c r="C13" s="61">
        <v>400.23939632920951</v>
      </c>
      <c r="D13" s="61">
        <v>57542.319400977824</v>
      </c>
      <c r="E13" s="61">
        <v>13541.818483263311</v>
      </c>
      <c r="F13" s="61">
        <v>4960.1531143394805</v>
      </c>
      <c r="G13" s="61">
        <v>21520.78728193025</v>
      </c>
      <c r="H13" s="61">
        <v>9744.8435996441876</v>
      </c>
      <c r="I13" s="61">
        <v>5190.3033342482304</v>
      </c>
      <c r="J13" s="61">
        <v>10418.84094718573</v>
      </c>
      <c r="K13" s="61">
        <v>13336.27454185346</v>
      </c>
      <c r="L13" s="61">
        <v>13680.615822918669</v>
      </c>
      <c r="M13" s="61">
        <v>28131.20119571027</v>
      </c>
      <c r="N13" s="61">
        <v>5403.9066189092864</v>
      </c>
      <c r="O13" s="61">
        <v>4885.9303499595062</v>
      </c>
      <c r="P13" s="61">
        <v>3173.5144325496399</v>
      </c>
      <c r="Q13" s="61">
        <v>4865.2639813688638</v>
      </c>
      <c r="R13" s="61">
        <v>482.37242480144442</v>
      </c>
      <c r="S13" s="61">
        <v>8333.3918076517984</v>
      </c>
      <c r="T13" s="61">
        <v>1747.245109425869</v>
      </c>
      <c r="U13" s="61">
        <v>1903.996388165524</v>
      </c>
      <c r="V13" s="61">
        <v>183.66298673524639</v>
      </c>
      <c r="W13" s="61">
        <v>0</v>
      </c>
      <c r="X13" s="61">
        <v>0</v>
      </c>
      <c r="Y13" s="61">
        <v>0</v>
      </c>
      <c r="Z13" s="61">
        <v>10298.69489514773</v>
      </c>
      <c r="AA13" s="61">
        <v>0</v>
      </c>
      <c r="AB13" s="61">
        <v>0</v>
      </c>
      <c r="AC13" s="61">
        <v>74517.628890243272</v>
      </c>
      <c r="AD13" s="61">
        <v>0</v>
      </c>
      <c r="AE13" s="61">
        <v>0</v>
      </c>
      <c r="AF13" s="61">
        <v>0</v>
      </c>
      <c r="AG13" s="61">
        <v>0</v>
      </c>
      <c r="AH13" s="61">
        <v>0</v>
      </c>
      <c r="AI13" s="61">
        <v>29187.288539699231</v>
      </c>
      <c r="AJ13" s="61">
        <v>0</v>
      </c>
      <c r="AK13" s="61">
        <v>324750.69183200004</v>
      </c>
    </row>
    <row r="14" spans="1:37" x14ac:dyDescent="0.3">
      <c r="A14" s="59" t="s">
        <v>31</v>
      </c>
      <c r="B14" s="61">
        <v>0</v>
      </c>
      <c r="C14" s="61">
        <v>0</v>
      </c>
      <c r="D14" s="61">
        <v>0</v>
      </c>
      <c r="E14" s="61">
        <v>0</v>
      </c>
      <c r="F14" s="61">
        <v>0</v>
      </c>
      <c r="G14" s="61">
        <v>0</v>
      </c>
      <c r="H14" s="61">
        <v>25.568584900729899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1">
        <v>0</v>
      </c>
      <c r="O14" s="61">
        <v>0</v>
      </c>
      <c r="P14" s="61">
        <v>0</v>
      </c>
      <c r="Q14" s="61">
        <v>2978.9887871990222</v>
      </c>
      <c r="R14" s="61">
        <v>0</v>
      </c>
      <c r="S14" s="61">
        <v>0</v>
      </c>
      <c r="T14" s="61">
        <v>0</v>
      </c>
      <c r="U14" s="61">
        <v>0</v>
      </c>
      <c r="V14" s="61">
        <v>0</v>
      </c>
      <c r="W14" s="61">
        <v>0</v>
      </c>
      <c r="X14" s="61">
        <v>0</v>
      </c>
      <c r="Y14" s="61">
        <v>0</v>
      </c>
      <c r="Z14" s="61">
        <v>2331.1414053204421</v>
      </c>
      <c r="AA14" s="61">
        <v>0</v>
      </c>
      <c r="AB14" s="61">
        <v>154024.681628411</v>
      </c>
      <c r="AC14" s="61">
        <v>0</v>
      </c>
      <c r="AD14" s="61">
        <v>0</v>
      </c>
      <c r="AE14" s="61">
        <v>0</v>
      </c>
      <c r="AF14" s="61">
        <v>0</v>
      </c>
      <c r="AG14" s="61">
        <v>0</v>
      </c>
      <c r="AH14" s="61">
        <v>0</v>
      </c>
      <c r="AI14" s="61">
        <v>34.003594168785121</v>
      </c>
      <c r="AJ14" s="61">
        <v>0</v>
      </c>
      <c r="AK14" s="61">
        <v>159394.38399999996</v>
      </c>
    </row>
    <row r="15" spans="1:37" x14ac:dyDescent="0.3">
      <c r="A15" s="59" t="s">
        <v>32</v>
      </c>
      <c r="B15" s="61">
        <v>3.4566102372133658</v>
      </c>
      <c r="C15" s="61">
        <v>0.69994730576305153</v>
      </c>
      <c r="D15" s="61">
        <v>621.80299700007527</v>
      </c>
      <c r="E15" s="61">
        <v>362.8720663709455</v>
      </c>
      <c r="F15" s="61">
        <v>42.478027895793048</v>
      </c>
      <c r="G15" s="61">
        <v>53.767765359557558</v>
      </c>
      <c r="H15" s="61">
        <v>53.383702687270713</v>
      </c>
      <c r="I15" s="61">
        <v>80.358823163366864</v>
      </c>
      <c r="J15" s="61">
        <v>80.856553549001731</v>
      </c>
      <c r="K15" s="61">
        <v>286.78031986012502</v>
      </c>
      <c r="L15" s="61">
        <v>96.154439248053848</v>
      </c>
      <c r="M15" s="61">
        <v>290.89712513942533</v>
      </c>
      <c r="N15" s="61">
        <v>5.6672485013011764</v>
      </c>
      <c r="O15" s="61">
        <v>46.814090731110227</v>
      </c>
      <c r="P15" s="61">
        <v>15.972534255088361</v>
      </c>
      <c r="Q15" s="61">
        <v>79.860160624145678</v>
      </c>
      <c r="R15" s="61">
        <v>6.9480413283503486</v>
      </c>
      <c r="S15" s="61">
        <v>223.3049504288316</v>
      </c>
      <c r="T15" s="61">
        <v>10.23988949654046</v>
      </c>
      <c r="U15" s="61">
        <v>21.293190247080361</v>
      </c>
      <c r="V15" s="61">
        <v>7.2457366184328293</v>
      </c>
      <c r="W15" s="61">
        <v>0</v>
      </c>
      <c r="X15" s="61">
        <v>0</v>
      </c>
      <c r="Y15" s="61">
        <v>0</v>
      </c>
      <c r="Z15" s="61">
        <v>59049.619620313752</v>
      </c>
      <c r="AA15" s="61">
        <v>0</v>
      </c>
      <c r="AB15" s="61">
        <v>70700.697888046445</v>
      </c>
      <c r="AC15" s="61">
        <v>0</v>
      </c>
      <c r="AD15" s="61">
        <v>0</v>
      </c>
      <c r="AE15" s="61">
        <v>0</v>
      </c>
      <c r="AF15" s="61">
        <v>0</v>
      </c>
      <c r="AG15" s="61">
        <v>0</v>
      </c>
      <c r="AH15" s="61">
        <v>0</v>
      </c>
      <c r="AI15" s="61">
        <v>225.46127159233319</v>
      </c>
      <c r="AJ15" s="61">
        <v>0</v>
      </c>
      <c r="AK15" s="61">
        <v>132366.633</v>
      </c>
    </row>
    <row r="16" spans="1:37" x14ac:dyDescent="0.3">
      <c r="A16" s="59" t="s">
        <v>33</v>
      </c>
      <c r="B16" s="61">
        <v>133.24541915181379</v>
      </c>
      <c r="C16" s="61">
        <v>12.061762648368379</v>
      </c>
      <c r="D16" s="61">
        <v>1680.5673546062651</v>
      </c>
      <c r="E16" s="61">
        <v>703.37773401800871</v>
      </c>
      <c r="F16" s="61">
        <v>179.83158493967139</v>
      </c>
      <c r="G16" s="61">
        <v>448.63844176554193</v>
      </c>
      <c r="H16" s="61">
        <v>211.73667566332759</v>
      </c>
      <c r="I16" s="61">
        <v>660.20637337845301</v>
      </c>
      <c r="J16" s="61">
        <v>187.2438192771618</v>
      </c>
      <c r="K16" s="61">
        <v>559.63160704708662</v>
      </c>
      <c r="L16" s="61">
        <v>186.72117109863299</v>
      </c>
      <c r="M16" s="61">
        <v>806.68414537659839</v>
      </c>
      <c r="N16" s="61">
        <v>104.16620032120819</v>
      </c>
      <c r="O16" s="61">
        <v>269.5740252167862</v>
      </c>
      <c r="P16" s="61">
        <v>835.10784948330911</v>
      </c>
      <c r="Q16" s="61">
        <v>295.23355713019248</v>
      </c>
      <c r="R16" s="61">
        <v>22.10798514458692</v>
      </c>
      <c r="S16" s="61">
        <v>432.84602090884857</v>
      </c>
      <c r="T16" s="61">
        <v>45.103477697987337</v>
      </c>
      <c r="U16" s="61">
        <v>65.203735330179313</v>
      </c>
      <c r="V16" s="61">
        <v>13.44478450039639</v>
      </c>
      <c r="W16" s="61">
        <v>0</v>
      </c>
      <c r="X16" s="61">
        <v>0</v>
      </c>
      <c r="Y16" s="61">
        <v>0</v>
      </c>
      <c r="Z16" s="61">
        <v>58336.310204086731</v>
      </c>
      <c r="AA16" s="61">
        <v>0</v>
      </c>
      <c r="AB16" s="61">
        <v>100728.55210755</v>
      </c>
      <c r="AC16" s="61">
        <v>0</v>
      </c>
      <c r="AD16" s="61">
        <v>0</v>
      </c>
      <c r="AE16" s="61">
        <v>0</v>
      </c>
      <c r="AF16" s="61">
        <v>0</v>
      </c>
      <c r="AG16" s="61">
        <v>0</v>
      </c>
      <c r="AH16" s="61">
        <v>0</v>
      </c>
      <c r="AI16" s="61">
        <v>833.06996365883754</v>
      </c>
      <c r="AJ16" s="61">
        <v>0</v>
      </c>
      <c r="AK16" s="61">
        <v>167750.666</v>
      </c>
    </row>
    <row r="17" spans="1:37" x14ac:dyDescent="0.3">
      <c r="A17" s="59" t="s">
        <v>34</v>
      </c>
      <c r="B17" s="61">
        <v>490.08985496816263</v>
      </c>
      <c r="C17" s="61">
        <v>57.080221819296177</v>
      </c>
      <c r="D17" s="61">
        <v>5468.0998233211803</v>
      </c>
      <c r="E17" s="61">
        <v>1329.0974655317041</v>
      </c>
      <c r="F17" s="61">
        <v>535.07511820256696</v>
      </c>
      <c r="G17" s="61">
        <v>807.49866542456061</v>
      </c>
      <c r="H17" s="61">
        <v>3530.459380998022</v>
      </c>
      <c r="I17" s="61">
        <v>808.68239988480138</v>
      </c>
      <c r="J17" s="61">
        <v>1670.380224100669</v>
      </c>
      <c r="K17" s="61">
        <v>1085.6008991835261</v>
      </c>
      <c r="L17" s="61">
        <v>852.63340269672392</v>
      </c>
      <c r="M17" s="61">
        <v>3575.7454794785908</v>
      </c>
      <c r="N17" s="61">
        <v>244.44581556513589</v>
      </c>
      <c r="O17" s="61">
        <v>1217.4934015496281</v>
      </c>
      <c r="P17" s="61">
        <v>1080.3192946531569</v>
      </c>
      <c r="Q17" s="61">
        <v>2793.2952563889198</v>
      </c>
      <c r="R17" s="61">
        <v>76.462133857874633</v>
      </c>
      <c r="S17" s="61">
        <v>817.90270224946596</v>
      </c>
      <c r="T17" s="61">
        <v>290.59676007160078</v>
      </c>
      <c r="U17" s="61">
        <v>182.40525652864011</v>
      </c>
      <c r="V17" s="61">
        <v>98.91347934003015</v>
      </c>
      <c r="W17" s="61">
        <v>0</v>
      </c>
      <c r="X17" s="61">
        <v>0</v>
      </c>
      <c r="Y17" s="61">
        <v>0</v>
      </c>
      <c r="Z17" s="61">
        <v>83799.513715594716</v>
      </c>
      <c r="AA17" s="61">
        <v>0</v>
      </c>
      <c r="AB17" s="61">
        <v>2189.972877601127</v>
      </c>
      <c r="AC17" s="61">
        <v>586.90537584523588</v>
      </c>
      <c r="AD17" s="61">
        <v>0</v>
      </c>
      <c r="AE17" s="61">
        <v>0</v>
      </c>
      <c r="AF17" s="61">
        <v>0</v>
      </c>
      <c r="AG17" s="61">
        <v>0</v>
      </c>
      <c r="AH17" s="61">
        <v>0</v>
      </c>
      <c r="AI17" s="61">
        <v>2053.7104047446701</v>
      </c>
      <c r="AJ17" s="61">
        <v>0</v>
      </c>
      <c r="AK17" s="61">
        <v>115642.37940960002</v>
      </c>
    </row>
    <row r="18" spans="1:37" x14ac:dyDescent="0.3">
      <c r="A18" s="59" t="s">
        <v>35</v>
      </c>
      <c r="B18" s="61">
        <v>45.605228894145768</v>
      </c>
      <c r="C18" s="61">
        <v>2.5403024282621001</v>
      </c>
      <c r="D18" s="61">
        <v>5026.7256007565666</v>
      </c>
      <c r="E18" s="61">
        <v>442.99665575269478</v>
      </c>
      <c r="F18" s="61">
        <v>429.84036324355242</v>
      </c>
      <c r="G18" s="61">
        <v>532.29112035122557</v>
      </c>
      <c r="H18" s="61">
        <v>363.71463689382608</v>
      </c>
      <c r="I18" s="61">
        <v>138.83656457905201</v>
      </c>
      <c r="J18" s="61">
        <v>646.93767522091571</v>
      </c>
      <c r="K18" s="61">
        <v>1201.327007833846</v>
      </c>
      <c r="L18" s="61">
        <v>106.0989552728491</v>
      </c>
      <c r="M18" s="61">
        <v>2632.84578936753</v>
      </c>
      <c r="N18" s="61">
        <v>517.64513886880309</v>
      </c>
      <c r="O18" s="61">
        <v>596.45103108985677</v>
      </c>
      <c r="P18" s="61">
        <v>563.15246454478972</v>
      </c>
      <c r="Q18" s="61">
        <v>691.78191464669635</v>
      </c>
      <c r="R18" s="61">
        <v>1329.65037949816</v>
      </c>
      <c r="S18" s="61">
        <v>272.61218324771272</v>
      </c>
      <c r="T18" s="61">
        <v>268.93630012863622</v>
      </c>
      <c r="U18" s="61">
        <v>721.29587844171817</v>
      </c>
      <c r="V18" s="61">
        <v>53.100030298439968</v>
      </c>
      <c r="W18" s="61">
        <v>0</v>
      </c>
      <c r="X18" s="61">
        <v>0</v>
      </c>
      <c r="Y18" s="61">
        <v>0</v>
      </c>
      <c r="Z18" s="61">
        <v>792.88895461752998</v>
      </c>
      <c r="AA18" s="61">
        <v>0</v>
      </c>
      <c r="AB18" s="61">
        <v>0</v>
      </c>
      <c r="AC18" s="61">
        <v>0</v>
      </c>
      <c r="AD18" s="61">
        <v>6938.4901258761438</v>
      </c>
      <c r="AE18" s="61">
        <v>0</v>
      </c>
      <c r="AF18" s="61">
        <v>0</v>
      </c>
      <c r="AG18" s="61">
        <v>0</v>
      </c>
      <c r="AH18" s="61">
        <v>0</v>
      </c>
      <c r="AI18" s="61">
        <v>5873.5041321470462</v>
      </c>
      <c r="AJ18" s="61">
        <v>0</v>
      </c>
      <c r="AK18" s="61">
        <v>30189.268433999994</v>
      </c>
    </row>
    <row r="19" spans="1:37" x14ac:dyDescent="0.3">
      <c r="A19" s="59" t="s">
        <v>36</v>
      </c>
      <c r="B19" s="61">
        <v>878.90071968715642</v>
      </c>
      <c r="C19" s="61">
        <v>21.156107052238031</v>
      </c>
      <c r="D19" s="61">
        <v>24983.709905904299</v>
      </c>
      <c r="E19" s="61">
        <v>2804.5801131864018</v>
      </c>
      <c r="F19" s="61">
        <v>479.55788734775729</v>
      </c>
      <c r="G19" s="61">
        <v>3240.654303271338</v>
      </c>
      <c r="H19" s="61">
        <v>1117.821131617615</v>
      </c>
      <c r="I19" s="61">
        <v>5419.3632753440024</v>
      </c>
      <c r="J19" s="61">
        <v>3219.006333385978</v>
      </c>
      <c r="K19" s="61">
        <v>373.29322046139077</v>
      </c>
      <c r="L19" s="61">
        <v>255.71930184659431</v>
      </c>
      <c r="M19" s="61">
        <v>1974.6281968891369</v>
      </c>
      <c r="N19" s="61">
        <v>650.07933480000145</v>
      </c>
      <c r="O19" s="61">
        <v>751.44850363935279</v>
      </c>
      <c r="P19" s="61">
        <v>4511.4339524788493</v>
      </c>
      <c r="Q19" s="61">
        <v>1994.0075274802771</v>
      </c>
      <c r="R19" s="61">
        <v>393.89450176907133</v>
      </c>
      <c r="S19" s="61">
        <v>1725.8882156792081</v>
      </c>
      <c r="T19" s="61">
        <v>185.3567037481148</v>
      </c>
      <c r="U19" s="61">
        <v>169.66052433389211</v>
      </c>
      <c r="V19" s="61">
        <v>28.166069967640318</v>
      </c>
      <c r="W19" s="61">
        <v>0</v>
      </c>
      <c r="X19" s="61">
        <v>0</v>
      </c>
      <c r="Y19" s="61">
        <v>0</v>
      </c>
      <c r="Z19" s="61">
        <v>34498.871008082417</v>
      </c>
      <c r="AA19" s="61">
        <v>0</v>
      </c>
      <c r="AB19" s="61">
        <v>0</v>
      </c>
      <c r="AC19" s="61">
        <v>0</v>
      </c>
      <c r="AD19" s="61">
        <v>5611.6718246520404</v>
      </c>
      <c r="AE19" s="61">
        <v>0</v>
      </c>
      <c r="AF19" s="61">
        <v>0</v>
      </c>
      <c r="AG19" s="61">
        <v>0</v>
      </c>
      <c r="AH19" s="61">
        <v>0</v>
      </c>
      <c r="AI19" s="61">
        <v>13501.321554375239</v>
      </c>
      <c r="AJ19" s="61">
        <v>0</v>
      </c>
      <c r="AK19" s="61">
        <v>108790.19021700002</v>
      </c>
    </row>
    <row r="20" spans="1:37" x14ac:dyDescent="0.3">
      <c r="A20" s="59" t="s">
        <v>37</v>
      </c>
      <c r="B20" s="61">
        <v>22.825944605169539</v>
      </c>
      <c r="C20" s="61">
        <v>3.9288492693452932</v>
      </c>
      <c r="D20" s="61">
        <v>1305.874248241066</v>
      </c>
      <c r="E20" s="61">
        <v>534.31784710219972</v>
      </c>
      <c r="F20" s="61">
        <v>136.68502400538389</v>
      </c>
      <c r="G20" s="61">
        <v>111.45841224941761</v>
      </c>
      <c r="H20" s="61">
        <v>378.28165031982348</v>
      </c>
      <c r="I20" s="61">
        <v>127.97668018739451</v>
      </c>
      <c r="J20" s="61">
        <v>2608.366444830478</v>
      </c>
      <c r="K20" s="61">
        <v>2585.0176487578528</v>
      </c>
      <c r="L20" s="61">
        <v>196.44319150081651</v>
      </c>
      <c r="M20" s="61">
        <v>4171.0992546565994</v>
      </c>
      <c r="N20" s="61">
        <v>718.27194805587771</v>
      </c>
      <c r="O20" s="61">
        <v>682.1854412769751</v>
      </c>
      <c r="P20" s="61">
        <v>195.77742430232951</v>
      </c>
      <c r="Q20" s="61">
        <v>374.09855333799578</v>
      </c>
      <c r="R20" s="61">
        <v>29.004325944283341</v>
      </c>
      <c r="S20" s="61">
        <v>328.80960376384172</v>
      </c>
      <c r="T20" s="61">
        <v>1045.526557163435</v>
      </c>
      <c r="U20" s="61">
        <v>187.3816661852691</v>
      </c>
      <c r="V20" s="61">
        <v>31.71043452465619</v>
      </c>
      <c r="W20" s="61">
        <v>0</v>
      </c>
      <c r="X20" s="61">
        <v>0</v>
      </c>
      <c r="Y20" s="61">
        <v>0</v>
      </c>
      <c r="Z20" s="61">
        <v>2335.4956256406508</v>
      </c>
      <c r="AA20" s="61">
        <v>0</v>
      </c>
      <c r="AB20" s="61">
        <v>0</v>
      </c>
      <c r="AC20" s="61">
        <v>0</v>
      </c>
      <c r="AD20" s="61">
        <v>14966.418242205569</v>
      </c>
      <c r="AE20" s="61">
        <v>0</v>
      </c>
      <c r="AF20" s="61">
        <v>0</v>
      </c>
      <c r="AG20" s="61">
        <v>0</v>
      </c>
      <c r="AH20" s="61">
        <v>0</v>
      </c>
      <c r="AI20" s="61">
        <v>4212.5652680735666</v>
      </c>
      <c r="AJ20" s="61">
        <v>0</v>
      </c>
      <c r="AK20" s="61">
        <v>37289.520286199993</v>
      </c>
    </row>
    <row r="21" spans="1:37" x14ac:dyDescent="0.3">
      <c r="A21" s="59" t="s">
        <v>38</v>
      </c>
      <c r="B21" s="61">
        <v>33.494521757010233</v>
      </c>
      <c r="C21" s="61">
        <v>19.995220652891799</v>
      </c>
      <c r="D21" s="61">
        <v>5749.4200509593929</v>
      </c>
      <c r="E21" s="61">
        <v>162.28290496012289</v>
      </c>
      <c r="F21" s="61">
        <v>523.73534031641987</v>
      </c>
      <c r="G21" s="61">
        <v>9266.1078106362365</v>
      </c>
      <c r="H21" s="61">
        <v>118.6373472721544</v>
      </c>
      <c r="I21" s="61">
        <v>200.2835611784925</v>
      </c>
      <c r="J21" s="61">
        <v>504.05039909200099</v>
      </c>
      <c r="K21" s="61">
        <v>124.3288390562396</v>
      </c>
      <c r="L21" s="61">
        <v>146.69956629357051</v>
      </c>
      <c r="M21" s="61">
        <v>1366.882414271181</v>
      </c>
      <c r="N21" s="61">
        <v>471.74109822745743</v>
      </c>
      <c r="O21" s="61">
        <v>273.81830876898039</v>
      </c>
      <c r="P21" s="61">
        <v>209.94316618693031</v>
      </c>
      <c r="Q21" s="61">
        <v>39.715607028113311</v>
      </c>
      <c r="R21" s="61">
        <v>54.636246344483553</v>
      </c>
      <c r="S21" s="61">
        <v>99.86598420205307</v>
      </c>
      <c r="T21" s="61">
        <v>76.285919115046767</v>
      </c>
      <c r="U21" s="61">
        <v>516.33320226487047</v>
      </c>
      <c r="V21" s="61">
        <v>2.126112020236131</v>
      </c>
      <c r="W21" s="61">
        <v>0</v>
      </c>
      <c r="X21" s="61">
        <v>0</v>
      </c>
      <c r="Y21" s="61">
        <v>0</v>
      </c>
      <c r="Z21" s="61">
        <v>336.41726507222882</v>
      </c>
      <c r="AA21" s="61">
        <v>0</v>
      </c>
      <c r="AB21" s="61">
        <v>0</v>
      </c>
      <c r="AC21" s="61">
        <v>0</v>
      </c>
      <c r="AD21" s="61">
        <v>12658.661318566241</v>
      </c>
      <c r="AE21" s="61">
        <v>0</v>
      </c>
      <c r="AF21" s="61">
        <v>0</v>
      </c>
      <c r="AG21" s="61">
        <v>0</v>
      </c>
      <c r="AH21" s="61">
        <v>0</v>
      </c>
      <c r="AI21" s="61">
        <v>1973.2869637576371</v>
      </c>
      <c r="AJ21" s="61">
        <v>0</v>
      </c>
      <c r="AK21" s="61">
        <v>34928.749167999988</v>
      </c>
    </row>
    <row r="22" spans="1:37" x14ac:dyDescent="0.3">
      <c r="A22" s="59" t="s">
        <v>39</v>
      </c>
      <c r="B22" s="61">
        <v>27.63248379662188</v>
      </c>
      <c r="C22" s="61">
        <v>2.8155216387624682</v>
      </c>
      <c r="D22" s="61">
        <v>784.574908215601</v>
      </c>
      <c r="E22" s="61">
        <v>262.84418592846328</v>
      </c>
      <c r="F22" s="61">
        <v>57.049156649823622</v>
      </c>
      <c r="G22" s="61">
        <v>90.507397839762859</v>
      </c>
      <c r="H22" s="61">
        <v>257.35659964439668</v>
      </c>
      <c r="I22" s="61">
        <v>117.0250941394159</v>
      </c>
      <c r="J22" s="61">
        <v>99.828357588677818</v>
      </c>
      <c r="K22" s="61">
        <v>480.38253374910602</v>
      </c>
      <c r="L22" s="61">
        <v>69.622535853551128</v>
      </c>
      <c r="M22" s="61">
        <v>628.31402800772389</v>
      </c>
      <c r="N22" s="61">
        <v>127.5167395953288</v>
      </c>
      <c r="O22" s="61">
        <v>497.25738527672149</v>
      </c>
      <c r="P22" s="61">
        <v>95.948899532648696</v>
      </c>
      <c r="Q22" s="61">
        <v>125.3388134036193</v>
      </c>
      <c r="R22" s="61">
        <v>5.7944570468867314</v>
      </c>
      <c r="S22" s="61">
        <v>161.74958986581771</v>
      </c>
      <c r="T22" s="61">
        <v>26.91158448050702</v>
      </c>
      <c r="U22" s="61">
        <v>48.127602615392071</v>
      </c>
      <c r="V22" s="61">
        <v>18.855301543156301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0.20829878801596241</v>
      </c>
      <c r="AJ22" s="61">
        <v>0</v>
      </c>
      <c r="AK22" s="61">
        <v>3985.6614752000005</v>
      </c>
    </row>
    <row r="23" spans="1:37" x14ac:dyDescent="0.3">
      <c r="A23" s="59" t="s">
        <v>197</v>
      </c>
      <c r="B23" s="61">
        <v>6402.1572276668794</v>
      </c>
      <c r="C23" s="61">
        <v>835.58158914134185</v>
      </c>
      <c r="D23" s="61">
        <v>186772.78478737609</v>
      </c>
      <c r="E23" s="61">
        <v>50884.557722237383</v>
      </c>
      <c r="F23" s="61">
        <v>13849.84553876985</v>
      </c>
      <c r="G23" s="61">
        <v>87554.361864187318</v>
      </c>
      <c r="H23" s="61">
        <v>33287.190066725132</v>
      </c>
      <c r="I23" s="61">
        <v>35331.346180219138</v>
      </c>
      <c r="J23" s="61">
        <v>24378.854156392081</v>
      </c>
      <c r="K23" s="61">
        <v>45142.424861049018</v>
      </c>
      <c r="L23" s="61">
        <v>17106.124235608069</v>
      </c>
      <c r="M23" s="61">
        <v>105225.6443141435</v>
      </c>
      <c r="N23" s="61">
        <v>77479.11543313344</v>
      </c>
      <c r="O23" s="61">
        <v>78265.2846025935</v>
      </c>
      <c r="P23" s="61">
        <v>65795.239427261564</v>
      </c>
      <c r="Q23" s="61">
        <v>28045.372703772729</v>
      </c>
      <c r="R23" s="61">
        <v>3774.736460420595</v>
      </c>
      <c r="S23" s="61">
        <v>31313.442650450641</v>
      </c>
      <c r="T23" s="61">
        <v>10589.46520192559</v>
      </c>
      <c r="U23" s="61">
        <v>10320.791368246821</v>
      </c>
      <c r="V23" s="61">
        <v>1054.443608679378</v>
      </c>
      <c r="W23" s="61"/>
      <c r="X23" s="61"/>
      <c r="Y23" s="61"/>
      <c r="Z23" s="61"/>
      <c r="AA23" s="61"/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913408.76400000008</v>
      </c>
    </row>
    <row r="24" spans="1:37" x14ac:dyDescent="0.3">
      <c r="A24" s="59" t="s">
        <v>198</v>
      </c>
      <c r="B24" s="61">
        <v>23924.24166094443</v>
      </c>
      <c r="C24" s="61">
        <v>1139.4621533259781</v>
      </c>
      <c r="D24" s="61">
        <v>263924.50112848327</v>
      </c>
      <c r="E24" s="61">
        <v>36356.207070456578</v>
      </c>
      <c r="F24" s="61">
        <v>25943.448403176051</v>
      </c>
      <c r="G24" s="61">
        <v>16125.91284055187</v>
      </c>
      <c r="H24" s="61">
        <v>27323.78119586554</v>
      </c>
      <c r="I24" s="61">
        <v>14198.75285779958</v>
      </c>
      <c r="J24" s="61">
        <v>35065.134680654868</v>
      </c>
      <c r="K24" s="61">
        <v>57545.72474218026</v>
      </c>
      <c r="L24" s="61">
        <v>127187.66010692839</v>
      </c>
      <c r="M24" s="61">
        <v>51494.880501913431</v>
      </c>
      <c r="N24" s="61">
        <v>44897.457816960508</v>
      </c>
      <c r="O24" s="61">
        <v>13724.344853417289</v>
      </c>
      <c r="P24" s="61">
        <v>24202.77903842329</v>
      </c>
      <c r="Q24" s="61">
        <v>16977.9049520187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/>
      <c r="X24" s="61"/>
      <c r="Y24" s="61"/>
      <c r="Z24" s="61"/>
      <c r="AA24" s="61"/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780032.19400310016</v>
      </c>
    </row>
    <row r="25" spans="1:37" x14ac:dyDescent="0.3">
      <c r="A25" s="59" t="s">
        <v>199</v>
      </c>
      <c r="B25" s="61">
        <v>0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3589.3676878868519</v>
      </c>
      <c r="S25" s="61">
        <v>22395.377359847778</v>
      </c>
      <c r="T25" s="61">
        <v>13134.896449515651</v>
      </c>
      <c r="U25" s="61">
        <v>6865.1697598198734</v>
      </c>
      <c r="V25" s="61">
        <v>656.00673982984836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46640.817996900005</v>
      </c>
    </row>
    <row r="26" spans="1:37" x14ac:dyDescent="0.3">
      <c r="A26" s="59" t="s">
        <v>200</v>
      </c>
      <c r="B26" s="61">
        <v>0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913408.76399999985</v>
      </c>
      <c r="X26" s="61">
        <v>261977.6999999999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1175386.4639999997</v>
      </c>
    </row>
    <row r="27" spans="1:37" x14ac:dyDescent="0.3">
      <c r="A27" s="59" t="s">
        <v>201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518054.49400310009</v>
      </c>
      <c r="Y27" s="61">
        <v>46640.81799689999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564695.31200000003</v>
      </c>
    </row>
    <row r="28" spans="1:37" x14ac:dyDescent="0.3">
      <c r="A28" s="59" t="s">
        <v>202</v>
      </c>
      <c r="B28" s="61">
        <v>0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  <c r="P28" s="61">
        <v>0</v>
      </c>
      <c r="Q28" s="61">
        <v>0</v>
      </c>
      <c r="R28" s="61">
        <v>0</v>
      </c>
      <c r="S28" s="61">
        <v>0</v>
      </c>
      <c r="T28" s="61">
        <v>0</v>
      </c>
      <c r="U28" s="61">
        <v>0</v>
      </c>
      <c r="V28" s="61">
        <v>0</v>
      </c>
      <c r="W28" s="61">
        <v>0</v>
      </c>
      <c r="X28" s="61">
        <v>0</v>
      </c>
      <c r="Y28" s="61">
        <v>0</v>
      </c>
      <c r="Z28" s="61">
        <v>0</v>
      </c>
      <c r="AA28" s="61">
        <v>109351.73300000009</v>
      </c>
      <c r="AB28" s="61">
        <v>0</v>
      </c>
      <c r="AC28" s="61">
        <v>0</v>
      </c>
      <c r="AD28" s="61">
        <v>0</v>
      </c>
      <c r="AE28" s="61">
        <v>160659.128</v>
      </c>
      <c r="AF28" s="61">
        <v>72174.278000000006</v>
      </c>
      <c r="AG28" s="61">
        <v>96355.684999999823</v>
      </c>
      <c r="AH28" s="61">
        <v>23757.155999999999</v>
      </c>
      <c r="AI28" s="61">
        <v>0</v>
      </c>
      <c r="AJ28" s="61">
        <v>0</v>
      </c>
      <c r="AK28" s="61">
        <v>462297.97999999992</v>
      </c>
    </row>
    <row r="29" spans="1:37" x14ac:dyDescent="0.3">
      <c r="A29" s="59" t="s">
        <v>203</v>
      </c>
      <c r="B29" s="61">
        <v>0</v>
      </c>
      <c r="C29" s="61">
        <v>0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  <c r="P29" s="61">
        <v>0</v>
      </c>
      <c r="Q29" s="61">
        <v>0</v>
      </c>
      <c r="R29" s="61">
        <v>0</v>
      </c>
      <c r="S29" s="61">
        <v>0</v>
      </c>
      <c r="T29" s="61">
        <v>0</v>
      </c>
      <c r="U29" s="61">
        <v>0</v>
      </c>
      <c r="V29" s="61">
        <v>0</v>
      </c>
      <c r="W29" s="61">
        <v>0</v>
      </c>
      <c r="X29" s="61">
        <v>0</v>
      </c>
      <c r="Y29" s="61">
        <v>0</v>
      </c>
      <c r="Z29" s="61">
        <v>143064.95483922769</v>
      </c>
      <c r="AA29" s="61">
        <v>349684.23273233708</v>
      </c>
      <c r="AB29" s="61">
        <v>126976.6719171351</v>
      </c>
      <c r="AC29" s="61">
        <v>0</v>
      </c>
      <c r="AD29" s="61">
        <v>0</v>
      </c>
      <c r="AE29" s="61">
        <v>0</v>
      </c>
      <c r="AF29" s="61">
        <v>0</v>
      </c>
      <c r="AG29" s="61">
        <v>0</v>
      </c>
      <c r="AH29" s="61">
        <v>0</v>
      </c>
      <c r="AI29" s="61">
        <v>0</v>
      </c>
      <c r="AJ29" s="61">
        <v>0</v>
      </c>
      <c r="AK29" s="61">
        <v>619725.85948869993</v>
      </c>
    </row>
    <row r="30" spans="1:37" x14ac:dyDescent="0.3">
      <c r="A30" s="59" t="s">
        <v>204</v>
      </c>
      <c r="B30" s="61">
        <v>0</v>
      </c>
      <c r="C30" s="61">
        <v>0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  <c r="P30" s="61">
        <v>0</v>
      </c>
      <c r="Q30" s="61">
        <v>0</v>
      </c>
      <c r="R30" s="61">
        <v>0</v>
      </c>
      <c r="S30" s="61">
        <v>0</v>
      </c>
      <c r="T30" s="61">
        <v>0</v>
      </c>
      <c r="U30" s="61">
        <v>0</v>
      </c>
      <c r="V30" s="61">
        <v>0</v>
      </c>
      <c r="W30" s="61">
        <v>0</v>
      </c>
      <c r="X30" s="61">
        <v>0</v>
      </c>
      <c r="Y30" s="61">
        <v>0</v>
      </c>
      <c r="Z30" s="61">
        <v>0</v>
      </c>
      <c r="AA30" s="61">
        <v>33485.068267662937</v>
      </c>
      <c r="AB30" s="61">
        <v>6690.1732436370621</v>
      </c>
      <c r="AC30" s="61">
        <v>0</v>
      </c>
      <c r="AD30" s="61">
        <v>0</v>
      </c>
      <c r="AE30" s="61">
        <v>0</v>
      </c>
      <c r="AF30" s="61">
        <v>0</v>
      </c>
      <c r="AG30" s="61">
        <v>0</v>
      </c>
      <c r="AH30" s="61">
        <v>0</v>
      </c>
      <c r="AI30" s="61">
        <v>0</v>
      </c>
      <c r="AJ30" s="61">
        <v>0</v>
      </c>
      <c r="AK30" s="61">
        <v>40175.241511300002</v>
      </c>
    </row>
    <row r="31" spans="1:37" x14ac:dyDescent="0.3">
      <c r="A31" s="59" t="s">
        <v>205</v>
      </c>
      <c r="B31" s="61">
        <v>0</v>
      </c>
      <c r="C31" s="61">
        <v>0</v>
      </c>
      <c r="D31" s="61">
        <v>64554.361604004778</v>
      </c>
      <c r="E31" s="61">
        <v>5558.5757476890039</v>
      </c>
      <c r="F31" s="61">
        <v>21709.353139449231</v>
      </c>
      <c r="G31" s="61">
        <v>13939.43125659036</v>
      </c>
      <c r="H31" s="61">
        <v>4776.8457303745117</v>
      </c>
      <c r="I31" s="61">
        <v>8326.0490804901201</v>
      </c>
      <c r="J31" s="61">
        <v>3981.2796193214049</v>
      </c>
      <c r="K31" s="61">
        <v>4570.998448689912</v>
      </c>
      <c r="L31" s="61">
        <v>16704.186644806268</v>
      </c>
      <c r="M31" s="61">
        <v>0</v>
      </c>
      <c r="N31" s="61">
        <v>2114.8962548021682</v>
      </c>
      <c r="O31" s="61">
        <v>753.40544744997499</v>
      </c>
      <c r="P31" s="61">
        <v>4361.3370569019853</v>
      </c>
      <c r="Q31" s="61">
        <v>5338.8547752643199</v>
      </c>
      <c r="R31" s="61">
        <v>0</v>
      </c>
      <c r="S31" s="61">
        <v>3420.6476519571252</v>
      </c>
      <c r="T31" s="61">
        <v>548.90554220888237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61">
        <v>0</v>
      </c>
      <c r="AA31" s="61">
        <v>0</v>
      </c>
      <c r="AB31" s="61">
        <v>0</v>
      </c>
      <c r="AC31" s="61">
        <v>0</v>
      </c>
      <c r="AD31" s="61">
        <v>0</v>
      </c>
      <c r="AE31" s="61">
        <v>0</v>
      </c>
      <c r="AF31" s="61">
        <v>0</v>
      </c>
      <c r="AG31" s="61">
        <v>0</v>
      </c>
      <c r="AH31" s="61">
        <v>0</v>
      </c>
      <c r="AI31" s="61">
        <v>0</v>
      </c>
      <c r="AJ31" s="61">
        <v>0</v>
      </c>
      <c r="AK31" s="61">
        <v>160659.128</v>
      </c>
    </row>
    <row r="32" spans="1:37" x14ac:dyDescent="0.3">
      <c r="A32" s="59" t="s">
        <v>206</v>
      </c>
      <c r="B32" s="61">
        <v>0</v>
      </c>
      <c r="C32" s="61">
        <v>0</v>
      </c>
      <c r="D32" s="61">
        <v>0</v>
      </c>
      <c r="E32" s="61">
        <v>0</v>
      </c>
      <c r="F32" s="61">
        <v>0</v>
      </c>
      <c r="G32" s="61">
        <v>0</v>
      </c>
      <c r="H32" s="61">
        <v>0</v>
      </c>
      <c r="I32" s="61">
        <v>0</v>
      </c>
      <c r="J32" s="61">
        <v>0</v>
      </c>
      <c r="K32" s="61">
        <v>0</v>
      </c>
      <c r="L32" s="61">
        <v>0</v>
      </c>
      <c r="M32" s="61">
        <v>0</v>
      </c>
      <c r="N32" s="61">
        <v>0</v>
      </c>
      <c r="O32" s="61">
        <v>0</v>
      </c>
      <c r="P32" s="61">
        <v>0</v>
      </c>
      <c r="Q32" s="61">
        <v>0</v>
      </c>
      <c r="R32" s="61">
        <v>0</v>
      </c>
      <c r="S32" s="61">
        <v>0</v>
      </c>
      <c r="T32" s="61">
        <v>0</v>
      </c>
      <c r="U32" s="61">
        <v>0</v>
      </c>
      <c r="V32" s="61">
        <v>0</v>
      </c>
      <c r="W32" s="61">
        <v>0</v>
      </c>
      <c r="X32" s="61">
        <v>0</v>
      </c>
      <c r="Y32" s="61">
        <v>0</v>
      </c>
      <c r="Z32" s="61">
        <v>0</v>
      </c>
      <c r="AA32" s="61">
        <v>72174.278000000006</v>
      </c>
      <c r="AB32" s="61">
        <v>0</v>
      </c>
      <c r="AC32" s="61">
        <v>0</v>
      </c>
      <c r="AD32" s="61">
        <v>0</v>
      </c>
      <c r="AE32" s="61">
        <v>0</v>
      </c>
      <c r="AF32" s="61">
        <v>0</v>
      </c>
      <c r="AG32" s="61">
        <v>0</v>
      </c>
      <c r="AH32" s="61">
        <v>0</v>
      </c>
      <c r="AI32" s="61">
        <v>0</v>
      </c>
      <c r="AJ32" s="61">
        <v>0</v>
      </c>
      <c r="AK32" s="61">
        <v>72174.278000000006</v>
      </c>
    </row>
    <row r="33" spans="1:37" x14ac:dyDescent="0.3">
      <c r="A33" s="59" t="s">
        <v>207</v>
      </c>
      <c r="B33" s="61">
        <v>0</v>
      </c>
      <c r="C33" s="61">
        <v>0</v>
      </c>
      <c r="D33" s="61">
        <v>0</v>
      </c>
      <c r="E33" s="61">
        <v>0</v>
      </c>
      <c r="F33" s="61">
        <v>0</v>
      </c>
      <c r="G33" s="61">
        <v>0</v>
      </c>
      <c r="H33" s="61">
        <v>0</v>
      </c>
      <c r="I33" s="61">
        <v>0</v>
      </c>
      <c r="J33" s="61">
        <v>0</v>
      </c>
      <c r="K33" s="61">
        <v>0</v>
      </c>
      <c r="L33" s="61">
        <v>0</v>
      </c>
      <c r="M33" s="61">
        <v>0</v>
      </c>
      <c r="N33" s="61">
        <v>0</v>
      </c>
      <c r="O33" s="61">
        <v>0</v>
      </c>
      <c r="P33" s="61">
        <v>0</v>
      </c>
      <c r="Q33" s="61">
        <v>0</v>
      </c>
      <c r="R33" s="61">
        <v>0</v>
      </c>
      <c r="S33" s="61">
        <v>0</v>
      </c>
      <c r="T33" s="61">
        <v>0</v>
      </c>
      <c r="U33" s="61">
        <v>0</v>
      </c>
      <c r="V33" s="61">
        <v>0</v>
      </c>
      <c r="W33" s="61">
        <v>0</v>
      </c>
      <c r="X33" s="61">
        <v>0</v>
      </c>
      <c r="Y33" s="61">
        <v>0</v>
      </c>
      <c r="Z33" s="61">
        <v>96355.684999999823</v>
      </c>
      <c r="AA33" s="61">
        <v>0</v>
      </c>
      <c r="AB33" s="61">
        <v>0</v>
      </c>
      <c r="AC33" s="61">
        <v>0</v>
      </c>
      <c r="AD33" s="61">
        <v>0</v>
      </c>
      <c r="AE33" s="61">
        <v>0</v>
      </c>
      <c r="AF33" s="61">
        <v>0</v>
      </c>
      <c r="AG33" s="61">
        <v>0</v>
      </c>
      <c r="AH33" s="61">
        <v>0</v>
      </c>
      <c r="AI33" s="61">
        <v>0</v>
      </c>
      <c r="AJ33" s="61">
        <v>0</v>
      </c>
      <c r="AK33" s="61">
        <v>96355.684999999823</v>
      </c>
    </row>
    <row r="34" spans="1:37" x14ac:dyDescent="0.3">
      <c r="A34" s="59" t="s">
        <v>208</v>
      </c>
      <c r="B34" s="61">
        <v>548.92979930479851</v>
      </c>
      <c r="C34" s="61">
        <v>6052.4778698731361</v>
      </c>
      <c r="D34" s="61">
        <v>16869.574166049981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1.122069747438134E-2</v>
      </c>
      <c r="K34" s="61">
        <v>0</v>
      </c>
      <c r="L34" s="61">
        <v>0</v>
      </c>
      <c r="M34" s="61">
        <v>0</v>
      </c>
      <c r="N34" s="61">
        <v>0</v>
      </c>
      <c r="O34" s="61">
        <v>0</v>
      </c>
      <c r="P34" s="61">
        <v>0</v>
      </c>
      <c r="Q34" s="61">
        <v>0.88114940619704363</v>
      </c>
      <c r="R34" s="61">
        <v>285.27213395084419</v>
      </c>
      <c r="S34" s="61">
        <v>0</v>
      </c>
      <c r="T34" s="61">
        <v>9.6607175687533822E-3</v>
      </c>
      <c r="U34" s="61">
        <v>0</v>
      </c>
      <c r="V34" s="61">
        <v>0</v>
      </c>
      <c r="W34" s="61">
        <v>0</v>
      </c>
      <c r="X34" s="61">
        <v>0</v>
      </c>
      <c r="Y34" s="61">
        <v>0</v>
      </c>
      <c r="Z34" s="61">
        <v>0</v>
      </c>
      <c r="AA34" s="61">
        <v>0</v>
      </c>
      <c r="AB34" s="61">
        <v>0</v>
      </c>
      <c r="AC34" s="61">
        <v>0</v>
      </c>
      <c r="AD34" s="61">
        <v>0</v>
      </c>
      <c r="AE34" s="61">
        <v>0</v>
      </c>
      <c r="AF34" s="61">
        <v>0</v>
      </c>
      <c r="AG34" s="61">
        <v>0</v>
      </c>
      <c r="AH34" s="61">
        <v>0</v>
      </c>
      <c r="AI34" s="61">
        <v>0</v>
      </c>
      <c r="AJ34" s="61">
        <v>0</v>
      </c>
      <c r="AK34" s="61">
        <v>23757.155999999995</v>
      </c>
    </row>
    <row r="35" spans="1:37" x14ac:dyDescent="0.3">
      <c r="A35" s="59" t="s">
        <v>209</v>
      </c>
      <c r="B35" s="61">
        <v>0</v>
      </c>
      <c r="C35" s="61">
        <v>0</v>
      </c>
      <c r="D35" s="61">
        <v>0</v>
      </c>
      <c r="E35" s="61">
        <v>0</v>
      </c>
      <c r="F35" s="61">
        <v>0</v>
      </c>
      <c r="G35" s="61">
        <v>0</v>
      </c>
      <c r="H35" s="61">
        <v>0</v>
      </c>
      <c r="I35" s="61">
        <v>0</v>
      </c>
      <c r="J35" s="61">
        <v>0</v>
      </c>
      <c r="K35" s="61">
        <v>0</v>
      </c>
      <c r="L35" s="61">
        <v>0</v>
      </c>
      <c r="M35" s="61">
        <v>0</v>
      </c>
      <c r="N35" s="61">
        <v>0</v>
      </c>
      <c r="O35" s="61">
        <v>0</v>
      </c>
      <c r="P35" s="61">
        <v>0</v>
      </c>
      <c r="Q35" s="61">
        <v>0</v>
      </c>
      <c r="R35" s="61">
        <v>0</v>
      </c>
      <c r="S35" s="61">
        <v>0</v>
      </c>
      <c r="T35" s="61">
        <v>0</v>
      </c>
      <c r="U35" s="61">
        <v>0</v>
      </c>
      <c r="V35" s="61">
        <v>0</v>
      </c>
      <c r="W35" s="61">
        <v>0</v>
      </c>
      <c r="X35" s="61">
        <v>0</v>
      </c>
      <c r="Y35" s="61">
        <v>0</v>
      </c>
      <c r="Z35" s="61">
        <v>0</v>
      </c>
      <c r="AA35" s="61">
        <v>0</v>
      </c>
      <c r="AB35" s="61">
        <v>0</v>
      </c>
      <c r="AC35" s="61">
        <v>0</v>
      </c>
      <c r="AD35" s="61">
        <v>0</v>
      </c>
      <c r="AE35" s="61">
        <v>0</v>
      </c>
      <c r="AF35" s="61">
        <v>0</v>
      </c>
      <c r="AG35" s="61">
        <v>0</v>
      </c>
      <c r="AH35" s="61">
        <v>0</v>
      </c>
      <c r="AI35" s="61">
        <v>0</v>
      </c>
      <c r="AJ35" s="61">
        <v>761603.0070000001</v>
      </c>
      <c r="AK35" s="61">
        <v>761603.0070000001</v>
      </c>
    </row>
    <row r="36" spans="1:37" x14ac:dyDescent="0.3">
      <c r="A36" s="59" t="s">
        <v>210</v>
      </c>
      <c r="B36" s="61">
        <v>11731.070999882169</v>
      </c>
      <c r="C36" s="61">
        <v>140654.13596925951</v>
      </c>
      <c r="D36" s="61">
        <v>429277.15096248733</v>
      </c>
      <c r="E36" s="61">
        <v>2508.097405129844</v>
      </c>
      <c r="F36" s="61">
        <v>198.36621250479749</v>
      </c>
      <c r="G36" s="61">
        <v>37.140011650737968</v>
      </c>
      <c r="H36" s="61">
        <v>25657.465373996911</v>
      </c>
      <c r="I36" s="61">
        <v>19930.273742593439</v>
      </c>
      <c r="J36" s="61">
        <v>6628.8523345514895</v>
      </c>
      <c r="K36" s="61">
        <v>4168.3419552967089</v>
      </c>
      <c r="L36" s="61">
        <v>1937.3983373799899</v>
      </c>
      <c r="M36" s="61">
        <v>37559.902586385579</v>
      </c>
      <c r="N36" s="61">
        <v>685.20509318367124</v>
      </c>
      <c r="O36" s="61">
        <v>2389.8484734466529</v>
      </c>
      <c r="P36" s="61">
        <v>380.17641837276949</v>
      </c>
      <c r="Q36" s="61">
        <v>7236.6825410315441</v>
      </c>
      <c r="R36" s="61">
        <v>10487.330333750349</v>
      </c>
      <c r="S36" s="61">
        <v>1543.438083632127</v>
      </c>
      <c r="T36" s="61">
        <v>3383.4322218915868</v>
      </c>
      <c r="U36" s="61">
        <v>7677.6762972596753</v>
      </c>
      <c r="V36" s="61">
        <v>75.653645105516546</v>
      </c>
      <c r="W36" s="61">
        <v>0</v>
      </c>
      <c r="X36" s="61">
        <v>0</v>
      </c>
      <c r="Y36" s="61">
        <v>0</v>
      </c>
      <c r="Z36" s="61">
        <v>0</v>
      </c>
      <c r="AA36" s="61">
        <v>0</v>
      </c>
      <c r="AB36" s="61">
        <v>0</v>
      </c>
      <c r="AC36" s="61">
        <v>47455.368001207637</v>
      </c>
      <c r="AD36" s="61">
        <v>0</v>
      </c>
      <c r="AE36" s="61">
        <v>0</v>
      </c>
      <c r="AF36" s="61">
        <v>0</v>
      </c>
      <c r="AG36" s="61">
        <v>0</v>
      </c>
      <c r="AH36" s="61">
        <v>0</v>
      </c>
      <c r="AI36" s="61">
        <v>0</v>
      </c>
      <c r="AJ36" s="61">
        <v>0</v>
      </c>
      <c r="AK36" s="61">
        <v>761603.0070000001</v>
      </c>
    </row>
    <row r="37" spans="1:37" x14ac:dyDescent="0.3">
      <c r="A37" s="60" t="s">
        <v>211</v>
      </c>
      <c r="B37" s="61">
        <v>72040.498000000007</v>
      </c>
      <c r="C37" s="61">
        <v>150980.16599999997</v>
      </c>
      <c r="D37" s="61">
        <v>1934621.8735221003</v>
      </c>
      <c r="E37" s="61">
        <v>176748.36678300003</v>
      </c>
      <c r="F37" s="61">
        <v>121254.18500000003</v>
      </c>
      <c r="G37" s="61">
        <v>275171.24600000004</v>
      </c>
      <c r="H37" s="61">
        <v>164675.00500000003</v>
      </c>
      <c r="I37" s="61">
        <v>188263.79900000003</v>
      </c>
      <c r="J37" s="61">
        <v>119801.93171380002</v>
      </c>
      <c r="K37" s="61">
        <v>185422.64699999997</v>
      </c>
      <c r="L37" s="61">
        <v>230695.64600000001</v>
      </c>
      <c r="M37" s="61">
        <v>324750.69183199992</v>
      </c>
      <c r="N37" s="61">
        <v>159394.38399999999</v>
      </c>
      <c r="O37" s="61">
        <v>132366.633</v>
      </c>
      <c r="P37" s="61">
        <v>167750.666</v>
      </c>
      <c r="Q37" s="61">
        <v>115642.37940959999</v>
      </c>
      <c r="R37" s="61">
        <v>30189.268434000001</v>
      </c>
      <c r="S37" s="61">
        <v>108790.19021700001</v>
      </c>
      <c r="T37" s="61">
        <v>37289.520286200008</v>
      </c>
      <c r="U37" s="61">
        <v>34928.749167999995</v>
      </c>
      <c r="V37" s="61">
        <v>3985.6614751999991</v>
      </c>
      <c r="W37" s="61">
        <v>913408.76399999985</v>
      </c>
      <c r="X37" s="61">
        <v>780032.19400310004</v>
      </c>
      <c r="Y37" s="61">
        <v>46640.81799689999</v>
      </c>
      <c r="Z37" s="61">
        <v>1175386.4639999999</v>
      </c>
      <c r="AA37" s="61">
        <v>564695.31200000015</v>
      </c>
      <c r="AB37" s="61">
        <v>462297.97999999986</v>
      </c>
      <c r="AC37" s="61">
        <v>619725.85948870005</v>
      </c>
      <c r="AD37" s="61">
        <v>40175.241511299995</v>
      </c>
      <c r="AE37" s="61">
        <v>160659.128</v>
      </c>
      <c r="AF37" s="61">
        <v>72174.278000000006</v>
      </c>
      <c r="AG37" s="61">
        <v>96355.684999999823</v>
      </c>
      <c r="AH37" s="61">
        <v>23757.155999999999</v>
      </c>
      <c r="AI37" s="61">
        <v>761603.0070000001</v>
      </c>
      <c r="AJ37" s="61">
        <v>761603.0070000001</v>
      </c>
      <c r="AK37" s="6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zoomScale="75" zoomScaleNormal="73" workbookViewId="0">
      <pane xSplit="2" ySplit="2" topLeftCell="V15" activePane="bottomRight" state="frozen"/>
      <selection pane="topRight" activeCell="C1" sqref="C1"/>
      <selection pane="bottomLeft" activeCell="A3" sqref="A3"/>
      <selection pane="bottomRight" activeCell="Y27" sqref="Y27"/>
    </sheetView>
  </sheetViews>
  <sheetFormatPr defaultColWidth="11.5546875" defaultRowHeight="33" customHeight="1" x14ac:dyDescent="0.3"/>
  <cols>
    <col min="2" max="2" width="31.88671875" bestFit="1" customWidth="1"/>
    <col min="3" max="3" width="9.5546875" bestFit="1" customWidth="1"/>
    <col min="4" max="4" width="9.6640625" customWidth="1"/>
    <col min="5" max="5" width="10.6640625" bestFit="1" customWidth="1"/>
    <col min="6" max="6" width="13.88671875" bestFit="1" customWidth="1"/>
    <col min="7" max="7" width="25.44140625" bestFit="1" customWidth="1"/>
    <col min="8" max="9" width="9.33203125" bestFit="1" customWidth="1"/>
    <col min="10" max="10" width="15.88671875" bestFit="1" customWidth="1"/>
    <col min="11" max="12" width="13.88671875" bestFit="1" customWidth="1"/>
    <col min="13" max="13" width="15.88671875" bestFit="1" customWidth="1"/>
    <col min="14" max="14" width="12.44140625" bestFit="1" customWidth="1"/>
    <col min="15" max="15" width="28.109375" bestFit="1" customWidth="1"/>
    <col min="16" max="16" width="12.44140625" bestFit="1" customWidth="1"/>
    <col min="17" max="17" width="25.109375" bestFit="1" customWidth="1"/>
    <col min="18" max="20" width="19.5546875" bestFit="1" customWidth="1"/>
    <col min="21" max="21" width="32.33203125" bestFit="1" customWidth="1"/>
    <col min="22" max="22" width="25.109375" bestFit="1" customWidth="1"/>
    <col min="23" max="23" width="24.6640625" bestFit="1" customWidth="1"/>
    <col min="24" max="25" width="11" bestFit="1" customWidth="1"/>
    <col min="26" max="26" width="11" customWidth="1"/>
    <col min="27" max="29" width="11" bestFit="1" customWidth="1"/>
    <col min="30" max="30" width="12.33203125" bestFit="1" customWidth="1"/>
    <col min="31" max="31" width="16.6640625" customWidth="1"/>
    <col min="32" max="34" width="11" bestFit="1" customWidth="1"/>
    <col min="35" max="35" width="11" customWidth="1"/>
    <col min="36" max="38" width="11" bestFit="1" customWidth="1"/>
  </cols>
  <sheetData>
    <row r="1" spans="1:40" ht="33" customHeight="1" x14ac:dyDescent="0.3">
      <c r="A1" s="117"/>
      <c r="B1" s="118"/>
      <c r="C1" s="110" t="s">
        <v>0</v>
      </c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4" t="s">
        <v>2</v>
      </c>
      <c r="Y1" s="115"/>
      <c r="Z1" s="116"/>
      <c r="AA1" s="110" t="s">
        <v>5</v>
      </c>
      <c r="AB1" s="110"/>
      <c r="AC1" s="110"/>
      <c r="AD1" s="114" t="s">
        <v>10</v>
      </c>
      <c r="AE1" s="116"/>
      <c r="AF1" s="114" t="s">
        <v>11</v>
      </c>
      <c r="AG1" s="115"/>
      <c r="AH1" s="115"/>
      <c r="AI1" s="116"/>
      <c r="AJ1" s="110" t="s">
        <v>18</v>
      </c>
      <c r="AK1" s="110"/>
      <c r="AL1" s="110" t="s">
        <v>17</v>
      </c>
    </row>
    <row r="2" spans="1:40" ht="33" customHeight="1" x14ac:dyDescent="0.3">
      <c r="A2" s="119"/>
      <c r="B2" s="120"/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3</v>
      </c>
      <c r="Y2" s="1" t="s">
        <v>4</v>
      </c>
      <c r="Z2" s="1" t="s">
        <v>45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43</v>
      </c>
      <c r="AF2" s="1" t="s">
        <v>12</v>
      </c>
      <c r="AG2" s="1" t="s">
        <v>13</v>
      </c>
      <c r="AH2" s="1" t="s">
        <v>14</v>
      </c>
      <c r="AI2" s="1" t="s">
        <v>41</v>
      </c>
      <c r="AJ2" s="1" t="s">
        <v>15</v>
      </c>
      <c r="AK2" s="1" t="s">
        <v>16</v>
      </c>
      <c r="AL2" s="110"/>
    </row>
    <row r="3" spans="1:40" ht="33" customHeight="1" x14ac:dyDescent="0.3">
      <c r="A3" s="110" t="s">
        <v>0</v>
      </c>
      <c r="B3" s="1" t="s">
        <v>19</v>
      </c>
      <c r="C3" s="4">
        <v>4473.0429999999997</v>
      </c>
      <c r="D3" s="4">
        <v>4.319</v>
      </c>
      <c r="E3" s="4">
        <v>39046.895121900001</v>
      </c>
      <c r="F3" s="4">
        <v>49.076796000000002</v>
      </c>
      <c r="G3" s="4">
        <v>10.343</v>
      </c>
      <c r="H3" s="4">
        <v>380.60899999999998</v>
      </c>
      <c r="I3" s="4">
        <v>21.111999999999998</v>
      </c>
      <c r="J3" s="4">
        <v>9454.4419999999991</v>
      </c>
      <c r="K3" s="4">
        <v>19.204805</v>
      </c>
      <c r="L3" s="4">
        <v>36.036000000000001</v>
      </c>
      <c r="M3" s="4">
        <v>8.7260000000000009</v>
      </c>
      <c r="N3" s="4">
        <v>281.93489679999999</v>
      </c>
      <c r="O3" s="4">
        <v>290.95</v>
      </c>
      <c r="P3" s="4">
        <v>89.918999999999997</v>
      </c>
      <c r="Q3" s="4">
        <v>1150.008</v>
      </c>
      <c r="R3" s="4">
        <v>203.1617104</v>
      </c>
      <c r="S3" s="4">
        <v>2.0258780999999999</v>
      </c>
      <c r="T3" s="4">
        <v>30.207204000000001</v>
      </c>
      <c r="U3" s="4">
        <v>3.135195</v>
      </c>
      <c r="V3" s="4">
        <v>136.08210320000001</v>
      </c>
      <c r="W3" s="4">
        <v>5.1982895999999998</v>
      </c>
      <c r="X3" s="4"/>
      <c r="Y3" s="4"/>
      <c r="Z3" s="4"/>
      <c r="AA3" s="4">
        <v>17897.539000000001</v>
      </c>
      <c r="AB3" s="4"/>
      <c r="AC3" s="4">
        <v>0</v>
      </c>
      <c r="AD3" s="4">
        <v>384.49400000000003</v>
      </c>
      <c r="AE3" s="4"/>
      <c r="AF3" s="4"/>
      <c r="AG3" s="4"/>
      <c r="AH3" s="4"/>
      <c r="AI3" s="4"/>
      <c r="AJ3" s="4">
        <v>1080.9490000000001</v>
      </c>
      <c r="AK3" s="4"/>
      <c r="AL3" s="4">
        <f>SUM(C3:AK3)</f>
        <v>75059.411000000007</v>
      </c>
      <c r="AN3" s="2"/>
    </row>
    <row r="4" spans="1:40" ht="33" customHeight="1" x14ac:dyDescent="0.3">
      <c r="A4" s="110"/>
      <c r="B4" s="1" t="s">
        <v>20</v>
      </c>
      <c r="C4" s="4">
        <v>0.56000000000000005</v>
      </c>
      <c r="D4" s="4">
        <v>2.1800000000000002</v>
      </c>
      <c r="E4" s="4">
        <v>110842.21400000001</v>
      </c>
      <c r="F4" s="4">
        <v>0</v>
      </c>
      <c r="G4" s="4">
        <v>37676.635000000002</v>
      </c>
      <c r="H4" s="4">
        <v>293.53500000000003</v>
      </c>
      <c r="I4" s="4">
        <v>0</v>
      </c>
      <c r="J4" s="4">
        <v>4.194</v>
      </c>
      <c r="K4" s="4">
        <v>0</v>
      </c>
      <c r="L4" s="4">
        <v>0</v>
      </c>
      <c r="M4" s="4">
        <v>0.127</v>
      </c>
      <c r="N4" s="4">
        <v>23.072650799999998</v>
      </c>
      <c r="O4" s="4">
        <v>5.3920000000000003</v>
      </c>
      <c r="P4" s="4">
        <v>9.6000000000000002E-2</v>
      </c>
      <c r="Q4" s="4">
        <v>8.6430000000000007</v>
      </c>
      <c r="R4" s="4">
        <v>2.0779999999999998</v>
      </c>
      <c r="S4" s="4">
        <v>0</v>
      </c>
      <c r="T4" s="4">
        <v>0</v>
      </c>
      <c r="U4" s="4">
        <v>0</v>
      </c>
      <c r="V4" s="4">
        <v>0.5723492</v>
      </c>
      <c r="W4" s="4">
        <v>0</v>
      </c>
      <c r="X4" s="4"/>
      <c r="Y4" s="4"/>
      <c r="Z4" s="4"/>
      <c r="AA4" s="4">
        <v>15.273999999999999</v>
      </c>
      <c r="AB4" s="4"/>
      <c r="AC4" s="4">
        <v>0</v>
      </c>
      <c r="AD4" s="4">
        <v>1989.682</v>
      </c>
      <c r="AE4" s="4"/>
      <c r="AF4" s="4"/>
      <c r="AG4" s="4"/>
      <c r="AH4" s="4"/>
      <c r="AI4" s="4"/>
      <c r="AJ4" s="4">
        <v>112.92700000000001</v>
      </c>
      <c r="AK4" s="4"/>
      <c r="AL4" s="4">
        <f t="shared" ref="AL4:AL37" si="0">SUM(C4:AK4)</f>
        <v>150977.182</v>
      </c>
    </row>
    <row r="5" spans="1:40" ht="33" customHeight="1" x14ac:dyDescent="0.3">
      <c r="A5" s="110"/>
      <c r="B5" s="1" t="s">
        <v>21</v>
      </c>
      <c r="C5" s="4">
        <v>17747.875359400001</v>
      </c>
      <c r="D5" s="4">
        <v>659.44305039999995</v>
      </c>
      <c r="E5" s="4">
        <v>839233.6035804787</v>
      </c>
      <c r="F5" s="4">
        <v>12865.232927056899</v>
      </c>
      <c r="G5" s="4">
        <v>13861.0813655</v>
      </c>
      <c r="H5" s="4">
        <v>103098.13265129999</v>
      </c>
      <c r="I5" s="4">
        <v>41947.463117600004</v>
      </c>
      <c r="J5" s="4">
        <v>58596.154099299994</v>
      </c>
      <c r="K5" s="4">
        <v>8200.9914303199803</v>
      </c>
      <c r="L5" s="4">
        <v>4030.4418646999998</v>
      </c>
      <c r="M5" s="4">
        <v>3766.4950039</v>
      </c>
      <c r="N5" s="4">
        <v>33513.140411987762</v>
      </c>
      <c r="O5" s="4">
        <v>9881.3841632000003</v>
      </c>
      <c r="P5" s="4">
        <v>7971.0091967999997</v>
      </c>
      <c r="Q5" s="4">
        <v>39895.570822400005</v>
      </c>
      <c r="R5" s="4">
        <v>24575.584037496323</v>
      </c>
      <c r="S5" s="4">
        <v>9481.8572919213293</v>
      </c>
      <c r="T5" s="4">
        <v>7918.6651780430993</v>
      </c>
      <c r="U5" s="4">
        <v>2532.2076575800197</v>
      </c>
      <c r="V5" s="4">
        <v>2417.9420603122398</v>
      </c>
      <c r="W5" s="4">
        <v>300.55839810368002</v>
      </c>
      <c r="X5" s="4"/>
      <c r="Y5" s="4"/>
      <c r="Z5" s="4"/>
      <c r="AA5" s="4">
        <v>213777.45697209999</v>
      </c>
      <c r="AB5" s="4"/>
      <c r="AC5" s="4">
        <v>0</v>
      </c>
      <c r="AD5" s="4">
        <v>163215.9600017</v>
      </c>
      <c r="AE5" s="4"/>
      <c r="AF5" s="4"/>
      <c r="AG5" s="4"/>
      <c r="AH5" s="4"/>
      <c r="AI5" s="4"/>
      <c r="AJ5" s="4">
        <v>621764.05098910001</v>
      </c>
      <c r="AK5" s="4"/>
      <c r="AL5" s="4">
        <f t="shared" si="0"/>
        <v>2241252.3016307</v>
      </c>
    </row>
    <row r="6" spans="1:40" ht="33" customHeight="1" x14ac:dyDescent="0.3">
      <c r="A6" s="110"/>
      <c r="B6" s="1" t="s">
        <v>22</v>
      </c>
      <c r="C6" s="4">
        <v>1435.5662299999999</v>
      </c>
      <c r="D6" s="4">
        <v>35.198197</v>
      </c>
      <c r="E6" s="4">
        <v>43166.554754787896</v>
      </c>
      <c r="F6" s="4">
        <v>4423.724786062</v>
      </c>
      <c r="G6" s="4">
        <v>745.36637400000006</v>
      </c>
      <c r="H6" s="4">
        <v>5118.3661540000003</v>
      </c>
      <c r="I6" s="4">
        <v>1780.2489520000001</v>
      </c>
      <c r="J6" s="4">
        <v>8450.0668020000012</v>
      </c>
      <c r="K6" s="4">
        <v>5037.7166552658009</v>
      </c>
      <c r="L6" s="4">
        <v>585.75289100000009</v>
      </c>
      <c r="M6" s="4">
        <v>381.59492999999998</v>
      </c>
      <c r="N6" s="4">
        <v>3221.8914249036002</v>
      </c>
      <c r="O6" s="4">
        <v>1030.6090019999999</v>
      </c>
      <c r="P6" s="4">
        <v>1202.5059210000002</v>
      </c>
      <c r="Q6" s="4">
        <v>7098.1243770000001</v>
      </c>
      <c r="R6" s="4">
        <v>3079.3324182056003</v>
      </c>
      <c r="S6" s="4">
        <v>664.37594721210007</v>
      </c>
      <c r="T6" s="4">
        <v>2722.8419119380001</v>
      </c>
      <c r="U6" s="4">
        <v>296.95781073420011</v>
      </c>
      <c r="V6" s="4">
        <v>276.69162309640001</v>
      </c>
      <c r="W6" s="4">
        <v>45.609230794399998</v>
      </c>
      <c r="X6" s="4"/>
      <c r="Y6" s="4"/>
      <c r="Z6" s="4"/>
      <c r="AA6" s="4">
        <v>56432.395283999998</v>
      </c>
      <c r="AB6" s="4"/>
      <c r="AC6" s="4">
        <v>0</v>
      </c>
      <c r="AD6" s="4">
        <v>9516.1853579999988</v>
      </c>
      <c r="AE6" s="4"/>
      <c r="AF6" s="4"/>
      <c r="AG6" s="4"/>
      <c r="AH6" s="4"/>
      <c r="AI6" s="4"/>
      <c r="AJ6" s="4">
        <v>22379.124206</v>
      </c>
      <c r="AK6" s="4"/>
      <c r="AL6" s="4">
        <f t="shared" si="0"/>
        <v>179126.80124100001</v>
      </c>
    </row>
    <row r="7" spans="1:40" ht="33" customHeight="1" x14ac:dyDescent="0.3">
      <c r="A7" s="110"/>
      <c r="B7" s="1" t="s">
        <v>23</v>
      </c>
      <c r="C7" s="4">
        <v>915.38099999999997</v>
      </c>
      <c r="D7" s="4">
        <v>108.59</v>
      </c>
      <c r="E7" s="4">
        <v>37997.902108800001</v>
      </c>
      <c r="F7" s="4">
        <v>2401.5373949999998</v>
      </c>
      <c r="G7" s="4">
        <v>16182.191999999999</v>
      </c>
      <c r="H7" s="4">
        <v>1052.788</v>
      </c>
      <c r="I7" s="4">
        <v>2613.6729999999998</v>
      </c>
      <c r="J7" s="4">
        <v>5156.241</v>
      </c>
      <c r="K7" s="4">
        <v>1262.4525538</v>
      </c>
      <c r="L7" s="4">
        <v>1434.4010000000001</v>
      </c>
      <c r="M7" s="4">
        <v>3101.9870000000001</v>
      </c>
      <c r="N7" s="4">
        <v>8317.9505816000001</v>
      </c>
      <c r="O7" s="4">
        <v>1856.575</v>
      </c>
      <c r="P7" s="4">
        <v>3970.3519999999999</v>
      </c>
      <c r="Q7" s="4">
        <v>5150.9740000000002</v>
      </c>
      <c r="R7" s="4">
        <v>2653.2842648000001</v>
      </c>
      <c r="S7" s="4">
        <v>192.56589120000001</v>
      </c>
      <c r="T7" s="4">
        <v>1478.1676050000001</v>
      </c>
      <c r="U7" s="4">
        <v>162.1914462</v>
      </c>
      <c r="V7" s="4">
        <v>566.94141839999998</v>
      </c>
      <c r="W7" s="4">
        <v>46.388735199999999</v>
      </c>
      <c r="X7" s="4"/>
      <c r="Y7" s="4"/>
      <c r="Z7" s="4"/>
      <c r="AA7" s="4">
        <v>22621.353999999999</v>
      </c>
      <c r="AB7" s="4"/>
      <c r="AC7" s="4">
        <v>1009.391</v>
      </c>
      <c r="AD7" s="4">
        <v>0</v>
      </c>
      <c r="AE7" s="4"/>
      <c r="AF7" s="4"/>
      <c r="AG7" s="4"/>
      <c r="AH7" s="4"/>
      <c r="AI7" s="4"/>
      <c r="AJ7" s="4">
        <v>1108.335</v>
      </c>
      <c r="AK7" s="4"/>
      <c r="AL7" s="4">
        <f t="shared" si="0"/>
        <v>121361.61599999999</v>
      </c>
    </row>
    <row r="8" spans="1:40" ht="33" customHeight="1" x14ac:dyDescent="0.3">
      <c r="A8" s="110"/>
      <c r="B8" s="1" t="s">
        <v>24</v>
      </c>
      <c r="C8" s="4">
        <v>81.793000000000006</v>
      </c>
      <c r="D8" s="4">
        <v>16.648</v>
      </c>
      <c r="E8" s="4">
        <v>1208.1629416000001</v>
      </c>
      <c r="F8" s="4">
        <v>187.527907</v>
      </c>
      <c r="G8" s="4">
        <v>539.93100000000004</v>
      </c>
      <c r="H8" s="4">
        <v>87.266000000000005</v>
      </c>
      <c r="I8" s="4">
        <v>216.84</v>
      </c>
      <c r="J8" s="4">
        <v>337.71300000000002</v>
      </c>
      <c r="K8" s="4">
        <v>231.3851392</v>
      </c>
      <c r="L8" s="4">
        <v>92.283000000000001</v>
      </c>
      <c r="M8" s="4">
        <v>9163.8279999999995</v>
      </c>
      <c r="N8" s="4">
        <v>678.84524399999998</v>
      </c>
      <c r="O8" s="4">
        <v>833.03499999999997</v>
      </c>
      <c r="P8" s="4">
        <v>176.26599999999999</v>
      </c>
      <c r="Q8" s="4">
        <v>115.029</v>
      </c>
      <c r="R8" s="4">
        <v>224.06989199999998</v>
      </c>
      <c r="S8" s="4">
        <v>14.5810584</v>
      </c>
      <c r="T8" s="4">
        <v>115.42509299999999</v>
      </c>
      <c r="U8" s="4">
        <v>31.973860799999997</v>
      </c>
      <c r="V8" s="4">
        <v>80.560756000000012</v>
      </c>
      <c r="W8" s="4">
        <v>3.387108</v>
      </c>
      <c r="X8" s="4"/>
      <c r="Y8" s="4"/>
      <c r="Z8" s="4"/>
      <c r="AA8" s="4">
        <v>0</v>
      </c>
      <c r="AB8" s="4"/>
      <c r="AC8" s="4">
        <v>0</v>
      </c>
      <c r="AD8" s="4">
        <v>260546.71799999999</v>
      </c>
      <c r="AE8" s="4"/>
      <c r="AF8" s="4"/>
      <c r="AG8" s="4"/>
      <c r="AH8" s="4"/>
      <c r="AI8" s="4"/>
      <c r="AJ8" s="4">
        <v>192.596</v>
      </c>
      <c r="AK8" s="4"/>
      <c r="AL8" s="4">
        <f t="shared" si="0"/>
        <v>275175.86499999999</v>
      </c>
    </row>
    <row r="9" spans="1:40" ht="33" customHeight="1" x14ac:dyDescent="0.3">
      <c r="A9" s="110"/>
      <c r="B9" s="1" t="s">
        <v>25</v>
      </c>
      <c r="C9" s="4">
        <v>1006.255</v>
      </c>
      <c r="D9" s="4">
        <v>626.02099999999996</v>
      </c>
      <c r="E9" s="4">
        <v>46872.543870399997</v>
      </c>
      <c r="F9" s="4">
        <v>13230.593897999999</v>
      </c>
      <c r="G9" s="4">
        <v>1782.85</v>
      </c>
      <c r="H9" s="4">
        <v>2406.4050000000002</v>
      </c>
      <c r="I9" s="4">
        <v>23796.05</v>
      </c>
      <c r="J9" s="4">
        <v>1142.2760000000001</v>
      </c>
      <c r="K9" s="4">
        <v>1766.2126880000001</v>
      </c>
      <c r="L9" s="4">
        <v>885.10400000000004</v>
      </c>
      <c r="M9" s="4">
        <v>570.495</v>
      </c>
      <c r="N9" s="4">
        <v>4964.6881651999993</v>
      </c>
      <c r="O9" s="4">
        <v>2587.777</v>
      </c>
      <c r="P9" s="4">
        <v>476.87299999999999</v>
      </c>
      <c r="Q9" s="4">
        <v>603.60299999999995</v>
      </c>
      <c r="R9" s="4">
        <v>1183.1409328</v>
      </c>
      <c r="S9" s="4">
        <v>546.23112960000003</v>
      </c>
      <c r="T9" s="4">
        <v>8143.5481019999997</v>
      </c>
      <c r="U9" s="4">
        <v>851.16931199999999</v>
      </c>
      <c r="V9" s="4">
        <v>754.48183480000012</v>
      </c>
      <c r="W9" s="4">
        <v>72.810067200000006</v>
      </c>
      <c r="X9" s="4"/>
      <c r="Y9" s="4"/>
      <c r="Z9" s="4"/>
      <c r="AA9" s="4">
        <v>30364.851999999999</v>
      </c>
      <c r="AB9" s="4"/>
      <c r="AC9" s="4">
        <v>0</v>
      </c>
      <c r="AD9" s="4">
        <v>683.36199999999997</v>
      </c>
      <c r="AE9" s="4"/>
      <c r="AF9" s="4"/>
      <c r="AG9" s="4"/>
      <c r="AH9" s="4"/>
      <c r="AI9" s="4"/>
      <c r="AJ9" s="4">
        <v>34489.231</v>
      </c>
      <c r="AK9" s="4"/>
      <c r="AL9" s="4">
        <f t="shared" si="0"/>
        <v>179806.57399999999</v>
      </c>
    </row>
    <row r="10" spans="1:40" ht="33" customHeight="1" x14ac:dyDescent="0.3">
      <c r="A10" s="110"/>
      <c r="B10" s="1" t="s">
        <v>26</v>
      </c>
      <c r="C10" s="4">
        <v>621.39800000000002</v>
      </c>
      <c r="D10" s="4">
        <v>98.004000000000005</v>
      </c>
      <c r="E10" s="4">
        <v>11723.701414200001</v>
      </c>
      <c r="F10" s="4">
        <v>7536.5775519999997</v>
      </c>
      <c r="G10" s="4">
        <v>931.19500000000005</v>
      </c>
      <c r="H10" s="4">
        <v>1142.242</v>
      </c>
      <c r="I10" s="4">
        <v>2630.5990000000002</v>
      </c>
      <c r="J10" s="4">
        <v>1862.1780000000001</v>
      </c>
      <c r="K10" s="4">
        <v>1937.6779828000001</v>
      </c>
      <c r="L10" s="4">
        <v>4717.0230000000001</v>
      </c>
      <c r="M10" s="4">
        <v>1681.306</v>
      </c>
      <c r="N10" s="4">
        <v>11055.381019999999</v>
      </c>
      <c r="O10" s="4">
        <v>3037.89</v>
      </c>
      <c r="P10" s="4">
        <v>8070.6440000000002</v>
      </c>
      <c r="Q10" s="4">
        <v>5936.2950000000001</v>
      </c>
      <c r="R10" s="4">
        <v>5060.3196383999993</v>
      </c>
      <c r="S10" s="4">
        <v>226.40558580000001</v>
      </c>
      <c r="T10" s="4">
        <v>4638.8304479999997</v>
      </c>
      <c r="U10" s="4">
        <v>483.96501719999998</v>
      </c>
      <c r="V10" s="4">
        <v>1011.14198</v>
      </c>
      <c r="W10" s="4">
        <v>838.8803615999999</v>
      </c>
      <c r="X10" s="4"/>
      <c r="Y10" s="4"/>
      <c r="Z10" s="4"/>
      <c r="AA10" s="4">
        <v>103692.954</v>
      </c>
      <c r="AB10" s="4"/>
      <c r="AC10" s="4">
        <v>0</v>
      </c>
      <c r="AD10" s="4">
        <v>0</v>
      </c>
      <c r="AE10" s="4"/>
      <c r="AF10" s="4"/>
      <c r="AG10" s="4"/>
      <c r="AH10" s="4"/>
      <c r="AI10" s="4"/>
      <c r="AJ10" s="4">
        <v>11206.638000000001</v>
      </c>
      <c r="AK10" s="4"/>
      <c r="AL10" s="4">
        <f t="shared" si="0"/>
        <v>190141.247</v>
      </c>
    </row>
    <row r="11" spans="1:40" ht="33" customHeight="1" x14ac:dyDescent="0.3">
      <c r="A11" s="110"/>
      <c r="B11" s="1" t="s">
        <v>27</v>
      </c>
      <c r="C11" s="4">
        <v>198.75600700000001</v>
      </c>
      <c r="D11" s="4">
        <v>15.678584600000001</v>
      </c>
      <c r="E11" s="4">
        <v>4108.9196559271995</v>
      </c>
      <c r="F11" s="4">
        <v>5859.2509027574006</v>
      </c>
      <c r="G11" s="4">
        <v>371.8069686</v>
      </c>
      <c r="H11" s="4">
        <v>407.80618420000002</v>
      </c>
      <c r="I11" s="4">
        <v>1504.1990863999999</v>
      </c>
      <c r="J11" s="4">
        <v>1288.3053936000001</v>
      </c>
      <c r="K11" s="4">
        <v>13080.609454265599</v>
      </c>
      <c r="L11" s="4">
        <v>6985.7902255999998</v>
      </c>
      <c r="M11" s="4">
        <v>813.33554520000007</v>
      </c>
      <c r="N11" s="4">
        <v>15062.23582511872</v>
      </c>
      <c r="O11" s="4">
        <v>2234.9409267999999</v>
      </c>
      <c r="P11" s="4">
        <v>2565.3153605999996</v>
      </c>
      <c r="Q11" s="4">
        <v>550.25241579999999</v>
      </c>
      <c r="R11" s="4">
        <v>2298.6356917206399</v>
      </c>
      <c r="S11" s="4">
        <v>77.233292872799993</v>
      </c>
      <c r="T11" s="4">
        <v>3606.4209918426</v>
      </c>
      <c r="U11" s="4">
        <v>2392.1200843344</v>
      </c>
      <c r="V11" s="4">
        <v>535.67653568127992</v>
      </c>
      <c r="W11" s="4">
        <v>156.42059027936</v>
      </c>
      <c r="X11" s="4"/>
      <c r="Y11" s="4"/>
      <c r="Z11" s="4"/>
      <c r="AA11" s="4">
        <v>32987.4141036</v>
      </c>
      <c r="AB11" s="4"/>
      <c r="AC11" s="4">
        <v>0</v>
      </c>
      <c r="AD11" s="4">
        <v>19334.0520894</v>
      </c>
      <c r="AE11" s="4"/>
      <c r="AF11" s="4"/>
      <c r="AG11" s="4"/>
      <c r="AH11" s="4"/>
      <c r="AI11" s="4"/>
      <c r="AJ11" s="4">
        <v>8162.4795921999994</v>
      </c>
      <c r="AK11" s="4"/>
      <c r="AL11" s="4">
        <f t="shared" si="0"/>
        <v>124597.65550840001</v>
      </c>
    </row>
    <row r="12" spans="1:40" ht="33" customHeight="1" x14ac:dyDescent="0.3">
      <c r="A12" s="110"/>
      <c r="B12" s="1" t="s">
        <v>28</v>
      </c>
      <c r="C12" s="4">
        <v>1231.0119999999999</v>
      </c>
      <c r="D12" s="4">
        <v>191.881</v>
      </c>
      <c r="E12" s="4">
        <v>18623.606704999998</v>
      </c>
      <c r="F12" s="4">
        <v>5027.0351799999999</v>
      </c>
      <c r="G12" s="4">
        <v>2048.471</v>
      </c>
      <c r="H12" s="4">
        <v>5248.2089999999998</v>
      </c>
      <c r="I12" s="4">
        <v>2440.3780000000002</v>
      </c>
      <c r="J12" s="4">
        <v>3163.9119999999998</v>
      </c>
      <c r="K12" s="4">
        <v>1425.7833298</v>
      </c>
      <c r="L12" s="4">
        <v>28519.482</v>
      </c>
      <c r="M12" s="4">
        <v>20055.798999999999</v>
      </c>
      <c r="N12" s="4">
        <v>5154.3130964000002</v>
      </c>
      <c r="O12" s="4">
        <v>4989.7780000000002</v>
      </c>
      <c r="P12" s="4">
        <v>1699.3879999999999</v>
      </c>
      <c r="Q12" s="4">
        <v>3701.8310000000001</v>
      </c>
      <c r="R12" s="4">
        <v>1994.7095967999999</v>
      </c>
      <c r="S12" s="4">
        <v>302.27329499999996</v>
      </c>
      <c r="T12" s="4">
        <v>3094.1848199999999</v>
      </c>
      <c r="U12" s="4">
        <v>350.77867019999997</v>
      </c>
      <c r="V12" s="4">
        <v>261.10590359999998</v>
      </c>
      <c r="W12" s="4">
        <v>130.98140319999999</v>
      </c>
      <c r="X12" s="4"/>
      <c r="Y12" s="4"/>
      <c r="Z12" s="4"/>
      <c r="AA12" s="4">
        <v>74115.437999999995</v>
      </c>
      <c r="AB12" s="4"/>
      <c r="AC12" s="4">
        <v>0</v>
      </c>
      <c r="AD12" s="4">
        <v>0</v>
      </c>
      <c r="AE12" s="4"/>
      <c r="AF12" s="4"/>
      <c r="AG12" s="4"/>
      <c r="AH12" s="4"/>
      <c r="AI12" s="4"/>
      <c r="AJ12" s="4">
        <v>4694.4139999999998</v>
      </c>
      <c r="AK12" s="4"/>
      <c r="AL12" s="4">
        <f t="shared" si="0"/>
        <v>188464.76500000001</v>
      </c>
    </row>
    <row r="13" spans="1:40" ht="33" customHeight="1" x14ac:dyDescent="0.3">
      <c r="A13" s="110"/>
      <c r="B13" s="1" t="s">
        <v>29</v>
      </c>
      <c r="C13" s="4">
        <v>66.954999999999998</v>
      </c>
      <c r="D13" s="4">
        <v>7.782</v>
      </c>
      <c r="E13" s="4">
        <v>3812.8829238999997</v>
      </c>
      <c r="F13" s="4">
        <v>9594.3285370000012</v>
      </c>
      <c r="G13" s="4">
        <v>564.05100000000004</v>
      </c>
      <c r="H13" s="4">
        <v>781.476</v>
      </c>
      <c r="I13" s="4">
        <v>1530.2639999999999</v>
      </c>
      <c r="J13" s="4">
        <v>11059.503000000001</v>
      </c>
      <c r="K13" s="4">
        <v>1260.54375</v>
      </c>
      <c r="L13" s="4">
        <v>7292.3990000000003</v>
      </c>
      <c r="M13" s="4">
        <v>7982.9769999999999</v>
      </c>
      <c r="N13" s="4">
        <v>7643.1378156000001</v>
      </c>
      <c r="O13" s="4">
        <v>1738.5119999999999</v>
      </c>
      <c r="P13" s="4">
        <v>2240.83</v>
      </c>
      <c r="Q13" s="4">
        <v>3964.5590000000002</v>
      </c>
      <c r="R13" s="4">
        <v>2135.0154175999996</v>
      </c>
      <c r="S13" s="4">
        <v>72.34307609999999</v>
      </c>
      <c r="T13" s="4">
        <v>5905.3944630000005</v>
      </c>
      <c r="U13" s="4">
        <v>400.34924999999998</v>
      </c>
      <c r="V13" s="4">
        <v>419.91518440000004</v>
      </c>
      <c r="W13" s="4">
        <v>185.7835824</v>
      </c>
      <c r="X13" s="4"/>
      <c r="Y13" s="4"/>
      <c r="Z13" s="4"/>
      <c r="AA13" s="4">
        <v>131970.416</v>
      </c>
      <c r="AB13" s="4"/>
      <c r="AC13" s="4">
        <v>0</v>
      </c>
      <c r="AD13" s="4">
        <v>31020.904999999999</v>
      </c>
      <c r="AE13" s="4"/>
      <c r="AF13" s="4"/>
      <c r="AG13" s="4"/>
      <c r="AH13" s="4"/>
      <c r="AI13" s="4"/>
      <c r="AJ13" s="4">
        <v>366.53699999999998</v>
      </c>
      <c r="AK13" s="4"/>
      <c r="AL13" s="4">
        <f t="shared" si="0"/>
        <v>232016.86000000002</v>
      </c>
    </row>
    <row r="14" spans="1:40" ht="33" customHeight="1" x14ac:dyDescent="0.3">
      <c r="A14" s="110"/>
      <c r="B14" s="1" t="s">
        <v>30</v>
      </c>
      <c r="C14" s="4">
        <v>1288.728584</v>
      </c>
      <c r="D14" s="4">
        <v>375.57602839999998</v>
      </c>
      <c r="E14" s="4">
        <v>62096.167612459125</v>
      </c>
      <c r="F14" s="4">
        <v>14791.599912481601</v>
      </c>
      <c r="G14" s="4">
        <v>4432.4957904000003</v>
      </c>
      <c r="H14" s="4">
        <v>19824.860771600001</v>
      </c>
      <c r="I14" s="4">
        <v>13794.367159199999</v>
      </c>
      <c r="J14" s="4">
        <v>4954.8961156000005</v>
      </c>
      <c r="K14" s="4">
        <v>11740.967295653199</v>
      </c>
      <c r="L14" s="4">
        <v>14557.4969272</v>
      </c>
      <c r="M14" s="4">
        <v>12016.583045199999</v>
      </c>
      <c r="N14" s="4">
        <v>30184.3030770648</v>
      </c>
      <c r="O14" s="4">
        <v>5924.7485372000001</v>
      </c>
      <c r="P14" s="4">
        <v>4699.5799731999996</v>
      </c>
      <c r="Q14" s="4">
        <v>2958.9091639999997</v>
      </c>
      <c r="R14" s="4">
        <v>4794.6532434396804</v>
      </c>
      <c r="S14" s="4">
        <v>632.97026714087997</v>
      </c>
      <c r="T14" s="4">
        <v>9104.3611739183998</v>
      </c>
      <c r="U14" s="4">
        <v>2285.6313339467997</v>
      </c>
      <c r="V14" s="4">
        <v>2190.7591505351998</v>
      </c>
      <c r="W14" s="4">
        <v>196.25138856031998</v>
      </c>
      <c r="X14" s="4"/>
      <c r="Y14" s="4"/>
      <c r="Z14" s="4"/>
      <c r="AA14" s="4">
        <v>9510.7369512000005</v>
      </c>
      <c r="AB14" s="4"/>
      <c r="AC14" s="4">
        <v>0</v>
      </c>
      <c r="AD14" s="4">
        <v>78578.603039599999</v>
      </c>
      <c r="AE14" s="4"/>
      <c r="AF14" s="4"/>
      <c r="AG14" s="4"/>
      <c r="AH14" s="4"/>
      <c r="AI14" s="4"/>
      <c r="AJ14" s="4">
        <v>27312.970383600001</v>
      </c>
      <c r="AK14" s="4"/>
      <c r="AL14" s="4">
        <f t="shared" si="0"/>
        <v>338248.21692560002</v>
      </c>
    </row>
    <row r="15" spans="1:40" ht="33" customHeight="1" x14ac:dyDescent="0.3">
      <c r="A15" s="110"/>
      <c r="B15" s="1" t="s">
        <v>31</v>
      </c>
      <c r="C15" s="4">
        <v>94.936000000000007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581.79499999999996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2823.0039999999999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/>
      <c r="Y15" s="4"/>
      <c r="Z15" s="4"/>
      <c r="AA15" s="4">
        <v>2343.1669999999999</v>
      </c>
      <c r="AB15" s="4"/>
      <c r="AC15" s="4">
        <v>154168.83600000001</v>
      </c>
      <c r="AD15" s="4">
        <v>0</v>
      </c>
      <c r="AE15" s="4"/>
      <c r="AF15" s="4"/>
      <c r="AG15" s="4"/>
      <c r="AH15" s="4"/>
      <c r="AI15" s="4"/>
      <c r="AJ15" s="4">
        <v>34.634</v>
      </c>
      <c r="AK15" s="4"/>
      <c r="AL15" s="4">
        <f t="shared" si="0"/>
        <v>160046.372</v>
      </c>
    </row>
    <row r="16" spans="1:40" ht="33" customHeight="1" x14ac:dyDescent="0.3">
      <c r="A16" s="110"/>
      <c r="B16" s="1" t="s">
        <v>32</v>
      </c>
      <c r="C16" s="4">
        <v>3.4510000000000001</v>
      </c>
      <c r="D16" s="4">
        <v>0.70699999999999996</v>
      </c>
      <c r="E16" s="4">
        <v>626.90538159999994</v>
      </c>
      <c r="F16" s="4">
        <v>348.27168399999999</v>
      </c>
      <c r="G16" s="4">
        <v>38.387</v>
      </c>
      <c r="H16" s="4">
        <v>51.889000000000003</v>
      </c>
      <c r="I16" s="4">
        <v>51.598999999999997</v>
      </c>
      <c r="J16" s="4">
        <v>76.75</v>
      </c>
      <c r="K16" s="4">
        <v>77.604131199999998</v>
      </c>
      <c r="L16" s="4">
        <v>276.07499999999999</v>
      </c>
      <c r="M16" s="4">
        <v>87.951999999999998</v>
      </c>
      <c r="N16" s="4">
        <v>290.4345404</v>
      </c>
      <c r="O16" s="4">
        <v>9.5559999999999992</v>
      </c>
      <c r="P16" s="4">
        <v>45.902999999999999</v>
      </c>
      <c r="Q16" s="4">
        <v>15.39</v>
      </c>
      <c r="R16" s="4">
        <v>75.608513600000009</v>
      </c>
      <c r="S16" s="4">
        <v>6.977618399999999</v>
      </c>
      <c r="T16" s="4">
        <v>214.364316</v>
      </c>
      <c r="U16" s="4">
        <v>9.9878687999999993</v>
      </c>
      <c r="V16" s="4">
        <v>21.240459599999998</v>
      </c>
      <c r="W16" s="4">
        <v>7.1974863999999998</v>
      </c>
      <c r="X16" s="4"/>
      <c r="Y16" s="4"/>
      <c r="Z16" s="4"/>
      <c r="AA16" s="4">
        <v>59211.775000000001</v>
      </c>
      <c r="AB16" s="4"/>
      <c r="AC16" s="4">
        <v>70597.013000000006</v>
      </c>
      <c r="AD16" s="4">
        <v>0</v>
      </c>
      <c r="AE16" s="4"/>
      <c r="AF16" s="4"/>
      <c r="AG16" s="4"/>
      <c r="AH16" s="4"/>
      <c r="AI16" s="4"/>
      <c r="AJ16" s="4">
        <v>229.09</v>
      </c>
      <c r="AK16" s="4"/>
      <c r="AL16" s="4">
        <f t="shared" si="0"/>
        <v>132374.12899999999</v>
      </c>
    </row>
    <row r="17" spans="1:38" ht="33" customHeight="1" x14ac:dyDescent="0.3">
      <c r="A17" s="110"/>
      <c r="B17" s="1" t="s">
        <v>33</v>
      </c>
      <c r="C17" s="4">
        <v>134.27199999999999</v>
      </c>
      <c r="D17" s="4">
        <v>12.196999999999999</v>
      </c>
      <c r="E17" s="4">
        <v>1693.6408796000001</v>
      </c>
      <c r="F17" s="4">
        <v>674.650576</v>
      </c>
      <c r="G17" s="4">
        <v>162.483</v>
      </c>
      <c r="H17" s="4">
        <v>432.90600000000001</v>
      </c>
      <c r="I17" s="4">
        <v>204.63800000000001</v>
      </c>
      <c r="J17" s="4">
        <v>630.59199999999998</v>
      </c>
      <c r="K17" s="4">
        <v>179.65007420000001</v>
      </c>
      <c r="L17" s="4">
        <v>538.45600000000002</v>
      </c>
      <c r="M17" s="4">
        <v>170.917</v>
      </c>
      <c r="N17" s="4">
        <v>805.41984479999996</v>
      </c>
      <c r="O17" s="4">
        <v>101.083</v>
      </c>
      <c r="P17" s="4">
        <v>264.18099999999998</v>
      </c>
      <c r="Q17" s="4">
        <v>803.93299999999999</v>
      </c>
      <c r="R17" s="4">
        <v>279.41703120000005</v>
      </c>
      <c r="S17" s="4">
        <v>22.199120399999998</v>
      </c>
      <c r="T17" s="4">
        <v>415.253424</v>
      </c>
      <c r="U17" s="4">
        <v>43.896925799999998</v>
      </c>
      <c r="V17" s="4">
        <v>65.062155200000007</v>
      </c>
      <c r="W17" s="4">
        <v>13.3509688</v>
      </c>
      <c r="X17" s="4"/>
      <c r="Y17" s="4"/>
      <c r="Z17" s="4"/>
      <c r="AA17" s="4">
        <v>58562.298000000003</v>
      </c>
      <c r="AB17" s="4"/>
      <c r="AC17" s="4">
        <v>100693.954</v>
      </c>
      <c r="AD17" s="4">
        <v>0</v>
      </c>
      <c r="AE17" s="4"/>
      <c r="AF17" s="4"/>
      <c r="AG17" s="4"/>
      <c r="AH17" s="4"/>
      <c r="AI17" s="4"/>
      <c r="AJ17" s="4">
        <v>847.43</v>
      </c>
      <c r="AK17" s="4"/>
      <c r="AL17" s="4">
        <f t="shared" si="0"/>
        <v>167751.88099999999</v>
      </c>
    </row>
    <row r="18" spans="1:38" ht="33" customHeight="1" x14ac:dyDescent="0.3">
      <c r="A18" s="110"/>
      <c r="B18" s="1" t="s">
        <v>34</v>
      </c>
      <c r="C18" s="4">
        <v>499.17783679999997</v>
      </c>
      <c r="D18" s="4">
        <v>58.466905599999997</v>
      </c>
      <c r="E18" s="4">
        <v>5701.1106214676802</v>
      </c>
      <c r="F18" s="4">
        <v>1418.4167027816</v>
      </c>
      <c r="G18" s="4">
        <v>495.49841279999998</v>
      </c>
      <c r="H18" s="4">
        <v>793.46921759999998</v>
      </c>
      <c r="I18" s="4">
        <v>3434.9912776000001</v>
      </c>
      <c r="J18" s="4">
        <v>788.25378319999993</v>
      </c>
      <c r="K18" s="4">
        <v>1753.1283898479999</v>
      </c>
      <c r="L18" s="4">
        <v>1067.7680352</v>
      </c>
      <c r="M18" s="4">
        <v>811.32628</v>
      </c>
      <c r="N18" s="4">
        <v>3676.6042498297597</v>
      </c>
      <c r="O18" s="4">
        <v>296.310564</v>
      </c>
      <c r="P18" s="4">
        <v>1204.1392664</v>
      </c>
      <c r="Q18" s="4">
        <v>1049.5628368</v>
      </c>
      <c r="R18" s="4">
        <v>2861.0417751027203</v>
      </c>
      <c r="S18" s="4">
        <v>78.664204132319995</v>
      </c>
      <c r="T18" s="4">
        <v>873.04808361840003</v>
      </c>
      <c r="U18" s="4">
        <v>302.97963175199999</v>
      </c>
      <c r="V18" s="4">
        <v>190.31074617023998</v>
      </c>
      <c r="W18" s="4">
        <v>99.097496097280001</v>
      </c>
      <c r="X18" s="4"/>
      <c r="Y18" s="4"/>
      <c r="Z18" s="4"/>
      <c r="AA18" s="4">
        <v>84307.258000000002</v>
      </c>
      <c r="AB18" s="4"/>
      <c r="AC18" s="4">
        <v>2193.9859999999999</v>
      </c>
      <c r="AD18" s="4">
        <v>674.22500000000002</v>
      </c>
      <c r="AE18" s="4"/>
      <c r="AF18" s="4"/>
      <c r="AG18" s="4"/>
      <c r="AH18" s="4"/>
      <c r="AI18" s="4"/>
      <c r="AJ18" s="4">
        <v>2093.6586407999998</v>
      </c>
      <c r="AK18" s="4"/>
      <c r="AL18" s="4">
        <f t="shared" si="0"/>
        <v>116722.49395760002</v>
      </c>
    </row>
    <row r="19" spans="1:38" ht="33" customHeight="1" x14ac:dyDescent="0.3">
      <c r="A19" s="110"/>
      <c r="B19" s="1" t="s">
        <v>35</v>
      </c>
      <c r="C19" s="4">
        <v>43.241640599999997</v>
      </c>
      <c r="D19" s="4">
        <v>2.4389495999999999</v>
      </c>
      <c r="E19" s="4">
        <v>8252.4965577213297</v>
      </c>
      <c r="F19" s="4">
        <v>457.82719094310005</v>
      </c>
      <c r="G19" s="4">
        <v>383.0196345</v>
      </c>
      <c r="H19" s="4">
        <v>538.97934869999995</v>
      </c>
      <c r="I19" s="4">
        <v>341.9968824</v>
      </c>
      <c r="J19" s="4">
        <v>126.8729007</v>
      </c>
      <c r="K19" s="4">
        <v>592.06551268001999</v>
      </c>
      <c r="L19" s="4">
        <v>1097.5441352999999</v>
      </c>
      <c r="M19" s="4">
        <v>92.228996099999989</v>
      </c>
      <c r="N19" s="4">
        <v>2747.7001620122401</v>
      </c>
      <c r="O19" s="4">
        <v>610.53283679999993</v>
      </c>
      <c r="P19" s="4">
        <v>663.33580319999999</v>
      </c>
      <c r="Q19" s="4">
        <v>524.06417759999999</v>
      </c>
      <c r="R19" s="4">
        <v>630.60424330367994</v>
      </c>
      <c r="S19" s="4">
        <v>2100.8415698786698</v>
      </c>
      <c r="T19" s="4">
        <v>281.79670395689999</v>
      </c>
      <c r="U19" s="4">
        <v>249.95039941998002</v>
      </c>
      <c r="V19" s="4">
        <v>771.16236568776003</v>
      </c>
      <c r="W19" s="4">
        <v>51.076321096320001</v>
      </c>
      <c r="X19" s="4"/>
      <c r="Y19" s="4"/>
      <c r="Z19" s="4"/>
      <c r="AA19" s="4">
        <v>755.73002789999998</v>
      </c>
      <c r="AB19" s="4"/>
      <c r="AC19" s="4">
        <v>0</v>
      </c>
      <c r="AD19" s="1"/>
      <c r="AE19" s="4">
        <v>6855.9289983000008</v>
      </c>
      <c r="AF19" s="4"/>
      <c r="AG19" s="4"/>
      <c r="AH19" s="4"/>
      <c r="AI19" s="4"/>
      <c r="AJ19" s="4">
        <v>5672.7650109000006</v>
      </c>
      <c r="AK19" s="4"/>
      <c r="AL19" s="4">
        <f t="shared" si="0"/>
        <v>33844.200369300001</v>
      </c>
    </row>
    <row r="20" spans="1:38" ht="33" customHeight="1" x14ac:dyDescent="0.3">
      <c r="A20" s="110"/>
      <c r="B20" s="1" t="s">
        <v>36</v>
      </c>
      <c r="C20" s="4">
        <v>883.60377000000005</v>
      </c>
      <c r="D20" s="4">
        <v>21.664802999999999</v>
      </c>
      <c r="E20" s="4">
        <v>26569.397999312099</v>
      </c>
      <c r="F20" s="4">
        <v>2722.8419119380001</v>
      </c>
      <c r="G20" s="4">
        <v>458.77962600000001</v>
      </c>
      <c r="H20" s="4">
        <v>3150.3998459999998</v>
      </c>
      <c r="I20" s="4">
        <v>1095.7590479999999</v>
      </c>
      <c r="J20" s="4">
        <v>5201.0911980000001</v>
      </c>
      <c r="K20" s="4">
        <v>3100.7593629342</v>
      </c>
      <c r="L20" s="4">
        <v>360.53610900000001</v>
      </c>
      <c r="M20" s="4">
        <v>234.87506999999999</v>
      </c>
      <c r="N20" s="4">
        <v>1983.1027994963999</v>
      </c>
      <c r="O20" s="4">
        <v>634.34899800000005</v>
      </c>
      <c r="P20" s="4">
        <v>740.15307900000005</v>
      </c>
      <c r="Q20" s="4">
        <v>4368.9586229999995</v>
      </c>
      <c r="R20" s="4">
        <v>1895.3564641943999</v>
      </c>
      <c r="S20" s="4">
        <v>408.92929868790003</v>
      </c>
      <c r="T20" s="4">
        <v>1675.9333900619999</v>
      </c>
      <c r="U20" s="4">
        <v>182.7801710658</v>
      </c>
      <c r="V20" s="4">
        <v>170.3061525036</v>
      </c>
      <c r="W20" s="4">
        <v>28.0728868056</v>
      </c>
      <c r="X20" s="4"/>
      <c r="Y20" s="4"/>
      <c r="Z20" s="4"/>
      <c r="AA20" s="4">
        <v>34734.640716000002</v>
      </c>
      <c r="AB20" s="4"/>
      <c r="AC20" s="4">
        <v>0</v>
      </c>
      <c r="AD20" s="1"/>
      <c r="AE20" s="4">
        <v>5857.2966419999993</v>
      </c>
      <c r="AF20" s="4"/>
      <c r="AG20" s="4"/>
      <c r="AH20" s="4"/>
      <c r="AI20" s="4"/>
      <c r="AJ20" s="4">
        <v>13774.549794</v>
      </c>
      <c r="AK20" s="4"/>
      <c r="AL20" s="4">
        <f t="shared" si="0"/>
        <v>110254.13775900002</v>
      </c>
    </row>
    <row r="21" spans="1:38" ht="33" customHeight="1" x14ac:dyDescent="0.3">
      <c r="A21" s="110"/>
      <c r="B21" s="1" t="s">
        <v>37</v>
      </c>
      <c r="C21" s="4">
        <v>23.316993</v>
      </c>
      <c r="D21" s="4">
        <v>4.1804154000000002</v>
      </c>
      <c r="E21" s="4">
        <v>1522.8338356728</v>
      </c>
      <c r="F21" s="4">
        <v>573.95729224260003</v>
      </c>
      <c r="G21" s="4">
        <v>141.09403140000001</v>
      </c>
      <c r="H21" s="4">
        <v>121.2628158</v>
      </c>
      <c r="I21" s="4">
        <v>412.73991360000002</v>
      </c>
      <c r="J21" s="4">
        <v>125.5346064</v>
      </c>
      <c r="K21" s="4">
        <v>3242.6283247343999</v>
      </c>
      <c r="L21" s="4">
        <v>2815.3407744000001</v>
      </c>
      <c r="M21" s="4">
        <v>190.8874548</v>
      </c>
      <c r="N21" s="4">
        <v>4329.6607772812795</v>
      </c>
      <c r="O21" s="4">
        <v>938.45407320000004</v>
      </c>
      <c r="P21" s="4">
        <v>724.23563939999997</v>
      </c>
      <c r="Q21" s="4">
        <v>203.67858420000002</v>
      </c>
      <c r="R21" s="4">
        <v>384.15661947936002</v>
      </c>
      <c r="S21" s="4">
        <v>32.025215527200004</v>
      </c>
      <c r="T21" s="4">
        <v>353.27581315740002</v>
      </c>
      <c r="U21" s="4">
        <v>1487.1091366655999</v>
      </c>
      <c r="V21" s="4">
        <v>203.62886191872002</v>
      </c>
      <c r="W21" s="4">
        <v>33.041098520639999</v>
      </c>
      <c r="X21" s="4"/>
      <c r="Y21" s="4"/>
      <c r="Z21" s="4"/>
      <c r="AA21" s="4">
        <v>2325.0428963999998</v>
      </c>
      <c r="AB21" s="4"/>
      <c r="AC21" s="4">
        <v>0</v>
      </c>
      <c r="AD21" s="1"/>
      <c r="AE21" s="4">
        <v>15446.0279106</v>
      </c>
      <c r="AF21" s="4"/>
      <c r="AG21" s="4"/>
      <c r="AH21" s="4"/>
      <c r="AI21" s="4"/>
      <c r="AJ21" s="4">
        <v>4249.5384077999997</v>
      </c>
      <c r="AK21" s="4"/>
      <c r="AL21" s="4">
        <f t="shared" si="0"/>
        <v>39883.651491599994</v>
      </c>
    </row>
    <row r="22" spans="1:38" ht="33" customHeight="1" x14ac:dyDescent="0.3">
      <c r="A22" s="110"/>
      <c r="B22" s="1" t="s">
        <v>38</v>
      </c>
      <c r="C22" s="4">
        <v>33.725415999999996</v>
      </c>
      <c r="D22" s="4">
        <v>18.549971599999999</v>
      </c>
      <c r="E22" s="4">
        <v>7989.1129993408795</v>
      </c>
      <c r="F22" s="4">
        <v>196.6611985184</v>
      </c>
      <c r="G22" s="4">
        <v>459.00320959999999</v>
      </c>
      <c r="H22" s="4">
        <v>8624.0222283999992</v>
      </c>
      <c r="I22" s="4">
        <v>149.0798408</v>
      </c>
      <c r="J22" s="4">
        <v>176.3068844</v>
      </c>
      <c r="K22" s="4">
        <v>641.07205054680003</v>
      </c>
      <c r="L22" s="4">
        <v>112.7830728</v>
      </c>
      <c r="M22" s="4">
        <v>139.3429548</v>
      </c>
      <c r="N22" s="4">
        <v>1584.6790741351999</v>
      </c>
      <c r="O22" s="4">
        <v>436.42346279999998</v>
      </c>
      <c r="P22" s="4">
        <v>246.0590268</v>
      </c>
      <c r="Q22" s="4">
        <v>184.65583600000002</v>
      </c>
      <c r="R22" s="4">
        <v>37.192913360320006</v>
      </c>
      <c r="S22" s="4">
        <v>181.95912105911998</v>
      </c>
      <c r="T22" s="4">
        <v>121.04671508160001</v>
      </c>
      <c r="U22" s="4">
        <v>153.80631985319999</v>
      </c>
      <c r="V22" s="4">
        <v>693.34569826480003</v>
      </c>
      <c r="W22" s="4">
        <v>2.3304546396800001</v>
      </c>
      <c r="X22" s="4"/>
      <c r="Y22" s="4"/>
      <c r="Z22" s="4"/>
      <c r="AA22" s="4">
        <v>308.03704879999998</v>
      </c>
      <c r="AB22" s="4"/>
      <c r="AC22" s="4">
        <v>0</v>
      </c>
      <c r="AD22" s="1"/>
      <c r="AE22" s="4">
        <v>12015.987960400002</v>
      </c>
      <c r="AF22" s="4"/>
      <c r="AG22" s="4"/>
      <c r="AH22" s="4"/>
      <c r="AI22" s="4"/>
      <c r="AJ22" s="4">
        <v>1830.8726164</v>
      </c>
      <c r="AK22" s="4"/>
      <c r="AL22" s="4">
        <f t="shared" si="0"/>
        <v>36336.05607440001</v>
      </c>
    </row>
    <row r="23" spans="1:38" ht="33" customHeight="1" x14ac:dyDescent="0.3">
      <c r="A23" s="110"/>
      <c r="B23" s="1" t="s">
        <v>39</v>
      </c>
      <c r="C23" s="4">
        <v>28.187163200000001</v>
      </c>
      <c r="D23" s="4">
        <v>2.9080944</v>
      </c>
      <c r="E23" s="4">
        <v>853.99163773231999</v>
      </c>
      <c r="F23" s="4">
        <v>262.88571821840003</v>
      </c>
      <c r="G23" s="4">
        <v>52.638587200000003</v>
      </c>
      <c r="H23" s="4">
        <v>89.177782399999998</v>
      </c>
      <c r="I23" s="4">
        <v>255.39172239999999</v>
      </c>
      <c r="J23" s="4">
        <v>114.6902168</v>
      </c>
      <c r="K23" s="4">
        <v>98.090543752000002</v>
      </c>
      <c r="L23" s="4">
        <v>474.07796480000002</v>
      </c>
      <c r="M23" s="4">
        <v>65.096720000000005</v>
      </c>
      <c r="N23" s="4">
        <v>647.05263737023995</v>
      </c>
      <c r="O23" s="4">
        <v>132.69243599999999</v>
      </c>
      <c r="P23" s="4">
        <v>497.82173359999996</v>
      </c>
      <c r="Q23" s="4">
        <v>94.323163199999996</v>
      </c>
      <c r="R23" s="4">
        <v>121.73301449728001</v>
      </c>
      <c r="S23" s="4">
        <v>5.9445366676799987</v>
      </c>
      <c r="T23" s="4">
        <v>161.80849538159998</v>
      </c>
      <c r="U23" s="4">
        <v>26.890434647999999</v>
      </c>
      <c r="V23" s="4">
        <v>49.600366629759996</v>
      </c>
      <c r="W23" s="4">
        <v>19.118714302720001</v>
      </c>
      <c r="X23" s="4"/>
      <c r="Y23" s="4"/>
      <c r="Z23" s="4"/>
      <c r="AA23" s="4">
        <v>0</v>
      </c>
      <c r="AB23" s="4"/>
      <c r="AC23" s="4">
        <v>0</v>
      </c>
      <c r="AD23" s="4">
        <v>0</v>
      </c>
      <c r="AE23" s="4">
        <v>0</v>
      </c>
      <c r="AF23" s="4"/>
      <c r="AG23" s="4"/>
      <c r="AH23" s="4"/>
      <c r="AI23" s="4"/>
      <c r="AJ23" s="4">
        <v>0.21635919999999997</v>
      </c>
      <c r="AK23" s="4"/>
      <c r="AL23" s="4">
        <f t="shared" si="0"/>
        <v>4054.3380424000002</v>
      </c>
    </row>
    <row r="24" spans="1:38" ht="33" customHeight="1" x14ac:dyDescent="0.3">
      <c r="A24" s="111" t="s">
        <v>2</v>
      </c>
      <c r="B24" s="1" t="s">
        <v>3</v>
      </c>
      <c r="C24" s="4">
        <v>6547.0230000000001</v>
      </c>
      <c r="D24" s="4">
        <v>865.25400000000002</v>
      </c>
      <c r="E24" s="4">
        <v>192748.72173059999</v>
      </c>
      <c r="F24" s="4">
        <v>49979.141392999998</v>
      </c>
      <c r="G24" s="4">
        <v>12814.433000000001</v>
      </c>
      <c r="H24" s="4">
        <v>86514.203999999998</v>
      </c>
      <c r="I24" s="4">
        <v>32944.266000000003</v>
      </c>
      <c r="J24" s="4">
        <v>34557.43</v>
      </c>
      <c r="K24" s="4">
        <v>23952.216407</v>
      </c>
      <c r="L24" s="4">
        <v>44478.012999999999</v>
      </c>
      <c r="M24" s="4">
        <v>16034.514999999999</v>
      </c>
      <c r="N24" s="4">
        <v>107585.29276160001</v>
      </c>
      <c r="O24" s="4">
        <v>76987.937000000005</v>
      </c>
      <c r="P24" s="4">
        <v>78542.589000000007</v>
      </c>
      <c r="Q24" s="4">
        <v>64861.093999999997</v>
      </c>
      <c r="R24" s="4">
        <v>27180.7150936</v>
      </c>
      <c r="S24" s="4">
        <v>3881.3762694000002</v>
      </c>
      <c r="T24" s="4">
        <v>30762.605607000001</v>
      </c>
      <c r="U24" s="4">
        <v>10553.842593000001</v>
      </c>
      <c r="V24" s="4">
        <v>10545.8472384</v>
      </c>
      <c r="W24" s="4">
        <v>1072.2469063999999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>
        <f>SUM(C24:AK24)</f>
        <v>913408.76400000008</v>
      </c>
    </row>
    <row r="25" spans="1:38" ht="33" customHeight="1" x14ac:dyDescent="0.3">
      <c r="A25" s="112"/>
      <c r="B25" s="1" t="s">
        <v>4</v>
      </c>
      <c r="C25" s="4">
        <v>24582.852999999999</v>
      </c>
      <c r="D25" s="4">
        <v>1185.5809999999999</v>
      </c>
      <c r="E25" s="4">
        <v>273674.4123729</v>
      </c>
      <c r="F25" s="4">
        <v>35880.453848000005</v>
      </c>
      <c r="G25" s="4">
        <v>24118.968999999997</v>
      </c>
      <c r="H25" s="4">
        <v>16010.707</v>
      </c>
      <c r="I25" s="4">
        <v>27171.904000000002</v>
      </c>
      <c r="J25" s="4">
        <v>13954.298999999999</v>
      </c>
      <c r="K25" s="4">
        <v>34616.607305799997</v>
      </c>
      <c r="L25" s="4">
        <v>56970.512999999999</v>
      </c>
      <c r="M25" s="4">
        <v>119791.432</v>
      </c>
      <c r="N25" s="4">
        <v>52901.981525199997</v>
      </c>
      <c r="O25" s="4">
        <v>44826.656999999999</v>
      </c>
      <c r="P25" s="4">
        <v>13838.985000000001</v>
      </c>
      <c r="Q25" s="4">
        <v>23973.508999999998</v>
      </c>
      <c r="R25" s="4">
        <v>16533.329951199998</v>
      </c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>
        <f>SUM(C25:AK25)</f>
        <v>780032.19400309992</v>
      </c>
    </row>
    <row r="26" spans="1:38" ht="33" customHeight="1" x14ac:dyDescent="0.3">
      <c r="A26" s="113"/>
      <c r="B26" s="1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>
        <v>3704.7476271</v>
      </c>
      <c r="T26" s="4">
        <v>22084.738151999998</v>
      </c>
      <c r="U26" s="4">
        <v>13140.2856942</v>
      </c>
      <c r="V26" s="4">
        <v>7041.4374747999991</v>
      </c>
      <c r="W26" s="4">
        <v>669.60904879999998</v>
      </c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>
        <f>SUM(C26:AK26)</f>
        <v>46640.817996899998</v>
      </c>
    </row>
    <row r="27" spans="1:38" ht="33" customHeight="1" x14ac:dyDescent="0.3">
      <c r="A27" s="110" t="s">
        <v>5</v>
      </c>
      <c r="B27" s="1" t="s">
        <v>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f>SUM(C24:W24)</f>
        <v>913408.76400000008</v>
      </c>
      <c r="Y27" s="4">
        <v>261977.7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f t="shared" si="0"/>
        <v>1175386.4640000002</v>
      </c>
    </row>
    <row r="28" spans="1:38" ht="33" customHeight="1" x14ac:dyDescent="0.3">
      <c r="A28" s="110"/>
      <c r="B28" s="1" t="s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>
        <v>518054.49400310015</v>
      </c>
      <c r="Z28" s="4">
        <v>46640.817996899998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f t="shared" si="0"/>
        <v>564695.31200000015</v>
      </c>
    </row>
    <row r="29" spans="1:38" ht="33" customHeight="1" x14ac:dyDescent="0.3">
      <c r="A29" s="110"/>
      <c r="B29" s="1" t="s">
        <v>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6">
        <v>98638.134000000136</v>
      </c>
      <c r="AC29" s="4"/>
      <c r="AD29" s="6">
        <v>10713.599000000046</v>
      </c>
      <c r="AE29" s="6"/>
      <c r="AF29" s="4">
        <v>160659.128</v>
      </c>
      <c r="AG29" s="4">
        <v>72174.278000000006</v>
      </c>
      <c r="AH29" s="4">
        <v>96355.684999999823</v>
      </c>
      <c r="AI29" s="4">
        <v>23757.155999999999</v>
      </c>
      <c r="AJ29" s="4"/>
      <c r="AK29" s="4"/>
      <c r="AL29" s="4">
        <f t="shared" si="0"/>
        <v>462297.98</v>
      </c>
    </row>
    <row r="30" spans="1:38" ht="33" customHeight="1" x14ac:dyDescent="0.3">
      <c r="A30" s="111" t="s">
        <v>10</v>
      </c>
      <c r="B30" s="1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v>143097</v>
      </c>
      <c r="AB30" s="4">
        <v>353707.65848870005</v>
      </c>
      <c r="AC30" s="4">
        <v>133634.79999999999</v>
      </c>
      <c r="AD30" s="4"/>
      <c r="AE30" s="4"/>
      <c r="AF30" s="4"/>
      <c r="AG30" s="4"/>
      <c r="AH30" s="4"/>
      <c r="AI30" s="4"/>
      <c r="AJ30" s="4"/>
      <c r="AK30" s="4"/>
      <c r="AL30" s="4">
        <f t="shared" si="0"/>
        <v>630439.45848869998</v>
      </c>
    </row>
    <row r="31" spans="1:38" ht="33" customHeight="1" x14ac:dyDescent="0.3">
      <c r="A31" s="113"/>
      <c r="B31" s="1" t="s">
        <v>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>
        <v>40175.241511300002</v>
      </c>
      <c r="AC31" s="4"/>
      <c r="AD31" s="4"/>
      <c r="AE31" s="4"/>
      <c r="AF31" s="4"/>
      <c r="AG31" s="4"/>
      <c r="AH31" s="4"/>
      <c r="AI31" s="4"/>
      <c r="AJ31" s="4"/>
      <c r="AK31" s="4"/>
      <c r="AL31" s="4">
        <f t="shared" si="0"/>
        <v>40175.241511300002</v>
      </c>
    </row>
    <row r="32" spans="1:38" ht="33" customHeight="1" x14ac:dyDescent="0.3">
      <c r="A32" s="111" t="s">
        <v>11</v>
      </c>
      <c r="B32" s="1" t="s">
        <v>12</v>
      </c>
      <c r="C32" s="4">
        <v>992.26900000000001</v>
      </c>
      <c r="D32" s="9">
        <v>0</v>
      </c>
      <c r="E32" s="4">
        <v>58307.142289300005</v>
      </c>
      <c r="F32" s="4">
        <v>8266.7734739999996</v>
      </c>
      <c r="G32" s="4">
        <v>2913.6909999999998</v>
      </c>
      <c r="H32" s="4">
        <v>18971.72</v>
      </c>
      <c r="I32" s="9">
        <v>0</v>
      </c>
      <c r="J32" s="4">
        <v>10098.726000000001</v>
      </c>
      <c r="K32" s="4">
        <v>4092.2453339999997</v>
      </c>
      <c r="L32" s="4">
        <v>7172.223</v>
      </c>
      <c r="M32" s="4">
        <v>33101.688999999998</v>
      </c>
      <c r="N32" s="4">
        <v>4518.8054132000007</v>
      </c>
      <c r="O32" s="4">
        <v>3.4260000000000002</v>
      </c>
      <c r="P32" s="4">
        <v>128.41800000000001</v>
      </c>
      <c r="Q32" s="4">
        <v>177.071</v>
      </c>
      <c r="R32" s="4">
        <v>8924.0489464000002</v>
      </c>
      <c r="S32" s="4">
        <v>512.23571070000003</v>
      </c>
      <c r="T32" s="4">
        <v>5088.2725260000007</v>
      </c>
      <c r="U32" s="4">
        <v>685.98066599999993</v>
      </c>
      <c r="V32" s="4">
        <v>357.94758680000001</v>
      </c>
      <c r="W32" s="4">
        <v>2.6520536000000003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>
        <f t="shared" si="0"/>
        <v>164315.33700000003</v>
      </c>
    </row>
    <row r="33" spans="1:38" ht="33" customHeight="1" x14ac:dyDescent="0.3">
      <c r="A33" s="112"/>
      <c r="B33" s="1" t="s">
        <v>13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>
        <v>72174.278000000006</v>
      </c>
      <c r="AC33" s="4"/>
      <c r="AD33" s="4"/>
      <c r="AE33" s="4"/>
      <c r="AF33" s="4"/>
      <c r="AG33" s="4"/>
      <c r="AH33" s="4"/>
      <c r="AI33" s="4"/>
      <c r="AJ33" s="4"/>
      <c r="AK33" s="4"/>
      <c r="AL33" s="4">
        <f t="shared" si="0"/>
        <v>72174.278000000006</v>
      </c>
    </row>
    <row r="34" spans="1:38" ht="33" customHeight="1" x14ac:dyDescent="0.3">
      <c r="A34" s="112"/>
      <c r="B34" s="1" t="s">
        <v>14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7">
        <v>96355.684999999823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>
        <f t="shared" si="0"/>
        <v>96355.684999999823</v>
      </c>
    </row>
    <row r="35" spans="1:38" ht="33" customHeight="1" x14ac:dyDescent="0.3">
      <c r="A35" s="113"/>
      <c r="B35" s="1" t="s">
        <v>42</v>
      </c>
      <c r="C35" s="4">
        <v>543.61400000000003</v>
      </c>
      <c r="D35" s="4">
        <v>6069.3789999999999</v>
      </c>
      <c r="E35" s="4">
        <v>16859.252943799998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1.0676E-2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0.82699999999999996</v>
      </c>
      <c r="S35" s="4">
        <v>284.06305620000001</v>
      </c>
      <c r="T35" s="4">
        <v>0</v>
      </c>
      <c r="U35" s="4">
        <v>9.3240000000000007E-3</v>
      </c>
      <c r="V35" s="4">
        <v>0</v>
      </c>
      <c r="W35" s="4">
        <v>0</v>
      </c>
      <c r="X35" s="4"/>
      <c r="Y35" s="4"/>
      <c r="Z35" s="4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>
        <f t="shared" si="0"/>
        <v>23757.156000000003</v>
      </c>
    </row>
    <row r="36" spans="1:38" ht="33" customHeight="1" x14ac:dyDescent="0.3">
      <c r="A36" s="110" t="s">
        <v>18</v>
      </c>
      <c r="B36" s="1" t="s">
        <v>15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>
        <v>761603.0070000001</v>
      </c>
      <c r="AL36" s="4">
        <f t="shared" si="0"/>
        <v>761603.0070000001</v>
      </c>
    </row>
    <row r="37" spans="1:38" ht="33" customHeight="1" x14ac:dyDescent="0.3">
      <c r="A37" s="110"/>
      <c r="B37" s="1" t="s">
        <v>16</v>
      </c>
      <c r="C37" s="8">
        <v>11582.416999999999</v>
      </c>
      <c r="D37" s="8">
        <v>140621.35</v>
      </c>
      <c r="E37" s="8">
        <v>427720.12769220001</v>
      </c>
      <c r="F37" s="8">
        <v>2378.4344580000002</v>
      </c>
      <c r="G37" s="8">
        <v>177.20099999999999</v>
      </c>
      <c r="H37" s="8">
        <v>35.432000000000002</v>
      </c>
      <c r="I37" s="8">
        <v>24516.612000000001</v>
      </c>
      <c r="J37" s="8">
        <v>18820.819</v>
      </c>
      <c r="K37" s="8">
        <v>6288.0323116</v>
      </c>
      <c r="L37" s="8">
        <v>3965.2249999999999</v>
      </c>
      <c r="M37" s="8">
        <v>1753.3440000000001</v>
      </c>
      <c r="N37" s="8">
        <v>37076.588930799997</v>
      </c>
      <c r="O37" s="8">
        <v>657.35900000000004</v>
      </c>
      <c r="P37" s="8">
        <v>2315.5300000000002</v>
      </c>
      <c r="Q37" s="8">
        <v>361.84199999999998</v>
      </c>
      <c r="R37" s="8">
        <v>6771.4735480000008</v>
      </c>
      <c r="S37" s="8">
        <v>10411.374307800001</v>
      </c>
      <c r="T37" s="8">
        <v>1463.9475419999999</v>
      </c>
      <c r="U37" s="8">
        <v>3255.6526884</v>
      </c>
      <c r="V37" s="8">
        <v>7574.2960691999997</v>
      </c>
      <c r="W37" s="8">
        <v>74.275452000000001</v>
      </c>
      <c r="X37" s="4"/>
      <c r="Y37" s="4"/>
      <c r="Z37" s="4"/>
      <c r="AA37" s="4"/>
      <c r="AB37" s="4"/>
      <c r="AC37" s="4"/>
      <c r="AD37" s="7">
        <v>53781.672999999952</v>
      </c>
      <c r="AE37" s="6"/>
      <c r="AF37" s="4"/>
      <c r="AG37" s="4"/>
      <c r="AH37" s="4"/>
      <c r="AI37" s="4"/>
      <c r="AJ37" s="4"/>
      <c r="AK37" s="4"/>
      <c r="AL37" s="4">
        <f t="shared" si="0"/>
        <v>761603.00699999998</v>
      </c>
    </row>
    <row r="38" spans="1:38" ht="33" customHeight="1" x14ac:dyDescent="0.3">
      <c r="A38" s="110" t="s">
        <v>17</v>
      </c>
      <c r="B38" s="110"/>
      <c r="C38" s="4">
        <f>SUM(C3:C37)</f>
        <v>75059.411000000022</v>
      </c>
      <c r="D38" s="4">
        <f>SUM(D3:D37)</f>
        <v>151003.99800000002</v>
      </c>
      <c r="E38" s="4">
        <f>SUM(E3:E37)</f>
        <v>2241252.3016307</v>
      </c>
      <c r="F38" s="4">
        <f>SUM(F3:F37)</f>
        <v>179126.80124099998</v>
      </c>
      <c r="G38" s="4">
        <f>SUM(G3:G37)</f>
        <v>121361.61600000004</v>
      </c>
      <c r="H38" s="4">
        <f t="shared" ref="H38:AK38" si="1">SUM(H3:H37)</f>
        <v>275175.86499999993</v>
      </c>
      <c r="I38" s="4">
        <f>SUM(I3:I37)</f>
        <v>183435.967</v>
      </c>
      <c r="J38" s="4">
        <f t="shared" si="1"/>
        <v>190141.24699999994</v>
      </c>
      <c r="K38" s="4">
        <f t="shared" si="1"/>
        <v>124597.6555084</v>
      </c>
      <c r="L38" s="4">
        <f t="shared" si="1"/>
        <v>188464.76500000001</v>
      </c>
      <c r="M38" s="4">
        <f t="shared" si="1"/>
        <v>232016.86000000002</v>
      </c>
      <c r="N38" s="4">
        <f t="shared" si="1"/>
        <v>338248.21692560002</v>
      </c>
      <c r="O38" s="4">
        <f t="shared" si="1"/>
        <v>160046.372</v>
      </c>
      <c r="P38" s="4">
        <f t="shared" si="1"/>
        <v>132374.12900000004</v>
      </c>
      <c r="Q38" s="4">
        <f t="shared" si="1"/>
        <v>167751.88099999999</v>
      </c>
      <c r="R38" s="4">
        <f t="shared" si="1"/>
        <v>116722.49395759999</v>
      </c>
      <c r="S38" s="4">
        <f t="shared" si="1"/>
        <v>33844.200369300001</v>
      </c>
      <c r="T38" s="4">
        <f t="shared" si="1"/>
        <v>110254.13775899998</v>
      </c>
      <c r="U38" s="4">
        <f t="shared" si="1"/>
        <v>39883.651491600001</v>
      </c>
      <c r="V38" s="4">
        <f t="shared" si="1"/>
        <v>36336.056074399996</v>
      </c>
      <c r="W38" s="4">
        <f>SUM(W3:W37)</f>
        <v>4054.3380423999988</v>
      </c>
      <c r="X38" s="4">
        <f t="shared" si="1"/>
        <v>913408.76400000008</v>
      </c>
      <c r="Y38" s="4">
        <f t="shared" si="1"/>
        <v>780032.19400310016</v>
      </c>
      <c r="Z38" s="4">
        <f t="shared" si="1"/>
        <v>46640.817996899998</v>
      </c>
      <c r="AA38" s="4">
        <f t="shared" si="1"/>
        <v>1175386.4639999999</v>
      </c>
      <c r="AB38" s="4">
        <f t="shared" si="1"/>
        <v>564695.31200000027</v>
      </c>
      <c r="AC38" s="4">
        <f t="shared" si="1"/>
        <v>462297.98</v>
      </c>
      <c r="AD38" s="4">
        <f t="shared" si="1"/>
        <v>630439.45848869998</v>
      </c>
      <c r="AE38" s="4">
        <f t="shared" si="1"/>
        <v>40175.241511300002</v>
      </c>
      <c r="AF38" s="4">
        <f t="shared" si="1"/>
        <v>160659.128</v>
      </c>
      <c r="AG38" s="4">
        <f t="shared" si="1"/>
        <v>72174.278000000006</v>
      </c>
      <c r="AH38" s="4">
        <f t="shared" si="1"/>
        <v>96355.684999999823</v>
      </c>
      <c r="AI38" s="4">
        <f t="shared" si="1"/>
        <v>23757.155999999999</v>
      </c>
      <c r="AJ38" s="4">
        <f t="shared" si="1"/>
        <v>761603.0070000001</v>
      </c>
      <c r="AK38" s="4">
        <f t="shared" si="1"/>
        <v>761603.0070000001</v>
      </c>
      <c r="AL38" s="4"/>
    </row>
    <row r="41" spans="1:38" ht="33" customHeight="1" x14ac:dyDescent="0.3">
      <c r="C41" s="2"/>
    </row>
  </sheetData>
  <mergeCells count="15">
    <mergeCell ref="A38:B38"/>
    <mergeCell ref="AD1:AE1"/>
    <mergeCell ref="A30:A31"/>
    <mergeCell ref="X1:Z1"/>
    <mergeCell ref="A24:A26"/>
    <mergeCell ref="A32:A35"/>
    <mergeCell ref="AL1:AL2"/>
    <mergeCell ref="A3:A23"/>
    <mergeCell ref="A27:A29"/>
    <mergeCell ref="A36:A37"/>
    <mergeCell ref="AF1:AI1"/>
    <mergeCell ref="A1:B2"/>
    <mergeCell ref="C1:W1"/>
    <mergeCell ref="AA1:AC1"/>
    <mergeCell ref="AJ1:A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opLeftCell="C16" zoomScale="85" zoomScaleNormal="85" workbookViewId="0">
      <selection activeCell="K43" sqref="K43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55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55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55"/>
      <c r="AP3" s="125" t="s">
        <v>94</v>
      </c>
      <c r="AQ3" s="125"/>
      <c r="AR3" s="126"/>
      <c r="AS3" s="126"/>
      <c r="AT3" s="55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 x14ac:dyDescent="0.3">
      <c r="A9" s="122"/>
      <c r="B9" s="123" t="s">
        <v>133</v>
      </c>
      <c r="C9" s="27" t="s">
        <v>96</v>
      </c>
      <c r="D9" s="54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 x14ac:dyDescent="0.3">
      <c r="A11" s="122"/>
      <c r="B11" s="123" t="s">
        <v>136</v>
      </c>
      <c r="C11" s="27" t="s">
        <v>97</v>
      </c>
      <c r="D11" s="54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 x14ac:dyDescent="0.3">
      <c r="A12" s="122"/>
      <c r="B12" s="124"/>
      <c r="C12" s="27" t="s">
        <v>97</v>
      </c>
      <c r="D12" s="54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 x14ac:dyDescent="0.3">
      <c r="A13" s="122"/>
      <c r="B13" s="124"/>
      <c r="C13" s="27" t="s">
        <v>97</v>
      </c>
      <c r="D13" s="54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 x14ac:dyDescent="0.3">
      <c r="A14" s="122"/>
      <c r="B14" s="124"/>
      <c r="C14" s="27" t="s">
        <v>97</v>
      </c>
      <c r="D14" s="54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 x14ac:dyDescent="0.3">
      <c r="A15" s="122"/>
      <c r="B15" s="124"/>
      <c r="C15" s="27" t="s">
        <v>97</v>
      </c>
      <c r="D15" s="54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f>518054*(1-0.03)</f>
        <v>502512.38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547754.15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7">
        <f>AS22</f>
        <v>15811.237722286571</v>
      </c>
      <c r="W17" s="57">
        <f>AS23</f>
        <v>14465.960284571867</v>
      </c>
      <c r="X17" s="57">
        <f>AS24</f>
        <v>23400.965820092999</v>
      </c>
      <c r="Y17" s="57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506760.38836685842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 x14ac:dyDescent="0.3">
      <c r="A24" s="122"/>
      <c r="B24" s="124"/>
      <c r="C24" s="27" t="s">
        <v>97</v>
      </c>
      <c r="D24" s="54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56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80">
        <f>PEP노동및자본국산!B29</f>
        <v>1917.1179999999999</v>
      </c>
      <c r="AS32" s="48">
        <f t="shared" si="0"/>
        <v>219191.81203308239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80">
        <f>PEP노동및자본국산!C29</f>
        <v>18168.096655900001</v>
      </c>
      <c r="AS33" s="48">
        <f t="shared" si="0"/>
        <v>1315727.4417377231</v>
      </c>
      <c r="AT33" s="27"/>
    </row>
    <row r="34" spans="1:46" x14ac:dyDescent="0.3">
      <c r="A34" s="122"/>
      <c r="B34" s="124"/>
      <c r="C34" s="27" t="s">
        <v>99</v>
      </c>
      <c r="D34" s="54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80">
        <f>PEP노동및자본국산!D29</f>
        <v>464.036</v>
      </c>
      <c r="AS34" s="48">
        <f t="shared" si="0"/>
        <v>395145.68991500931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80">
        <f>PEP노동및자본국산!E29</f>
        <v>1904.0308132</v>
      </c>
      <c r="AS35" s="48">
        <f t="shared" si="0"/>
        <v>1853473.0537918266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미시사회행렬국산!AD37-PEP노동및자본국산!F29</f>
        <v>38634.805980399993</v>
      </c>
      <c r="AR36" s="80">
        <f>PEP노동및자본국산!F29</f>
        <v>1540.4355308999998</v>
      </c>
      <c r="AS36" s="48">
        <f t="shared" si="0"/>
        <v>189622.50336325847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22"/>
      <c r="B39" s="124"/>
      <c r="C39" s="27" t="s">
        <v>100</v>
      </c>
      <c r="D39" s="54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22"/>
      <c r="B41" s="56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83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80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764490.07999999984</v>
      </c>
      <c r="J45" s="48">
        <f t="shared" si="1"/>
        <v>45241.77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3927.8519669175562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621266.29501959996</v>
      </c>
      <c r="AQ45" s="48">
        <f t="shared" si="1"/>
        <v>38634.805980399993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547754.15</v>
      </c>
      <c r="Q46" s="11">
        <v>506760.38836685842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189622.50336325847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23993.716999999997</v>
      </c>
    </row>
    <row r="47" spans="1:46" x14ac:dyDescent="0.3">
      <c r="G47" s="84">
        <f>G45-G46</f>
        <v>0</v>
      </c>
      <c r="H47" s="84">
        <f t="shared" ref="H47:AR47" si="2">H45-H46</f>
        <v>0</v>
      </c>
      <c r="I47" s="84">
        <f t="shared" si="2"/>
        <v>7858.8518169927411</v>
      </c>
      <c r="J47" s="84">
        <f t="shared" si="2"/>
        <v>0.17654300699359737</v>
      </c>
      <c r="K47" s="84">
        <f t="shared" si="2"/>
        <v>-706.94026416790075</v>
      </c>
      <c r="L47" s="84">
        <f t="shared" si="2"/>
        <v>-73.12831877557619</v>
      </c>
      <c r="M47" s="84">
        <f t="shared" si="2"/>
        <v>1949.5210489775345</v>
      </c>
      <c r="N47" s="84">
        <f t="shared" si="2"/>
        <v>9014.9525585742085</v>
      </c>
      <c r="O47" s="84">
        <f t="shared" si="2"/>
        <v>16020.708289570292</v>
      </c>
      <c r="P47" s="84">
        <f t="shared" si="2"/>
        <v>6227.1509999999544</v>
      </c>
      <c r="Q47" s="84">
        <f t="shared" si="2"/>
        <v>-44462.408366858552</v>
      </c>
      <c r="R47" s="84">
        <f t="shared" si="2"/>
        <v>0.31500000017695129</v>
      </c>
      <c r="S47" s="84">
        <f t="shared" si="2"/>
        <v>0</v>
      </c>
      <c r="T47" s="84">
        <f t="shared" si="2"/>
        <v>-0.12800000005518086</v>
      </c>
      <c r="U47" s="84">
        <f t="shared" si="2"/>
        <v>-0.15599999999903957</v>
      </c>
      <c r="V47" s="84">
        <f t="shared" si="2"/>
        <v>0</v>
      </c>
      <c r="W47" s="84">
        <f t="shared" si="2"/>
        <v>0</v>
      </c>
      <c r="X47" s="84">
        <f t="shared" si="2"/>
        <v>0</v>
      </c>
      <c r="Y47" s="84">
        <f t="shared" si="2"/>
        <v>0</v>
      </c>
      <c r="Z47" s="84">
        <f t="shared" si="2"/>
        <v>-10.000000000116415</v>
      </c>
      <c r="AA47" s="84">
        <f t="shared" si="2"/>
        <v>4082.0846926798113</v>
      </c>
      <c r="AB47" s="84">
        <f t="shared" si="2"/>
        <v>0</v>
      </c>
      <c r="AC47" s="84">
        <f t="shared" si="2"/>
        <v>0</v>
      </c>
      <c r="AD47" s="84">
        <f t="shared" si="2"/>
        <v>0</v>
      </c>
      <c r="AE47" s="84">
        <f t="shared" si="2"/>
        <v>0</v>
      </c>
      <c r="AF47" s="84">
        <f t="shared" si="2"/>
        <v>0</v>
      </c>
      <c r="AG47" s="84">
        <f t="shared" si="2"/>
        <v>0</v>
      </c>
      <c r="AH47" s="84">
        <f t="shared" si="2"/>
        <v>0</v>
      </c>
      <c r="AI47" s="84">
        <f t="shared" si="2"/>
        <v>0</v>
      </c>
      <c r="AJ47" s="84">
        <f t="shared" si="2"/>
        <v>0</v>
      </c>
      <c r="AK47" s="84">
        <f t="shared" si="2"/>
        <v>99</v>
      </c>
      <c r="AL47" s="84">
        <f t="shared" si="2"/>
        <v>0</v>
      </c>
      <c r="AM47" s="84">
        <f t="shared" si="2"/>
        <v>0</v>
      </c>
      <c r="AN47" s="84">
        <f t="shared" si="2"/>
        <v>0</v>
      </c>
      <c r="AO47" s="84">
        <f t="shared" si="2"/>
        <v>0</v>
      </c>
      <c r="AP47" s="84">
        <f t="shared" si="2"/>
        <v>1540.4355309001403</v>
      </c>
      <c r="AQ47" s="84">
        <f t="shared" si="2"/>
        <v>-1540.4355309000093</v>
      </c>
      <c r="AR47" s="84">
        <f t="shared" si="2"/>
        <v>0</v>
      </c>
    </row>
  </sheetData>
  <mergeCells count="18"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  <mergeCell ref="A7:A45"/>
    <mergeCell ref="B7:B8"/>
    <mergeCell ref="B9:B10"/>
    <mergeCell ref="B11:B26"/>
    <mergeCell ref="B27:B30"/>
    <mergeCell ref="B32:B36"/>
    <mergeCell ref="B37:B40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topLeftCell="K1" zoomScale="55" zoomScaleNormal="55" workbookViewId="0">
      <selection activeCell="AQ35" sqref="AQ35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70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70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70"/>
      <c r="AP3" s="125" t="s">
        <v>94</v>
      </c>
      <c r="AQ3" s="125"/>
      <c r="AR3" s="126"/>
      <c r="AS3" s="126"/>
      <c r="AT3" s="70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PEP노동및자본국산!B34*(1-0.033)</f>
        <v>5802.0826583225926</v>
      </c>
      <c r="AB7" s="37">
        <f>PEP노동및자본국산!C34*(1-0.033)</f>
        <v>109088.00686519317</v>
      </c>
      <c r="AC7" s="37">
        <f>PEP노동및자본국산!D34*(1-0.033)</f>
        <v>48440.587067977831</v>
      </c>
      <c r="AD7" s="37">
        <f>PEP노동및자본국산!E34*(1-0.033)</f>
        <v>269587.75752857322</v>
      </c>
      <c r="AE7" s="37">
        <f>PEP노동및자본국산!F34*(1-0.033)</f>
        <v>30398.743984512355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463317.17810457916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PEP노동및자본국산!B35*(1-0.033)</f>
        <v>5144.1866753523591</v>
      </c>
      <c r="AB8" s="37">
        <f>PEP노동및자본국산!C35*(1-0.033)</f>
        <v>71521.276024199513</v>
      </c>
      <c r="AC8" s="37">
        <f>PEP노동및자본국산!D35*(1-0.033)</f>
        <v>49617.281490681744</v>
      </c>
      <c r="AD8" s="37">
        <f>PEP노동및자본국산!E35*(1-0.033)</f>
        <v>272842.33810235886</v>
      </c>
      <c r="AE8" s="37">
        <f>PEP노동및자본국산!F35*(1-0.033)</f>
        <v>24771.390288649811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423896.47258124233</v>
      </c>
      <c r="AT8" s="27"/>
    </row>
    <row r="9" spans="1:46" x14ac:dyDescent="0.3">
      <c r="A9" s="122"/>
      <c r="B9" s="123" t="s">
        <v>133</v>
      </c>
      <c r="C9" s="27" t="s">
        <v>96</v>
      </c>
      <c r="D9" s="69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PEP노동및자본국산!B26*(1-0.03)</f>
        <v>24311.792699842295</v>
      </c>
      <c r="AB9" s="37">
        <f>PEP노동및자본국산!C26*(1-0.03)</f>
        <v>256006.76609462878</v>
      </c>
      <c r="AC9" s="37">
        <f>PEP노동및자본국산!D26*(1-0.03)</f>
        <v>40807.280406416081</v>
      </c>
      <c r="AD9" s="37">
        <f>PEP노동및자본국산!E26*(1-0.03)</f>
        <v>435505.38898211985</v>
      </c>
      <c r="AE9" s="37">
        <f>PEP노동및자본국산!F26*(1-0.03)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756631.2281830071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7">
        <f>PEP노동및자본국산!B27*(1-0.03)</f>
        <v>0</v>
      </c>
      <c r="AB10" s="37">
        <f>PEP노동및자본국산!C27*(1-0.03)</f>
        <v>0</v>
      </c>
      <c r="AC10" s="37">
        <f>PEP노동및자본국산!D27*(1-0.03)</f>
        <v>0</v>
      </c>
      <c r="AD10" s="37">
        <f>PEP노동및자본국산!E27*(1-0.03)</f>
        <v>0</v>
      </c>
      <c r="AE10" s="37">
        <f>PEP노동및자본국산!F27*(1-0.03)</f>
        <v>45241.593456993003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45241.593456993003</v>
      </c>
      <c r="AT10" s="27"/>
    </row>
    <row r="11" spans="1:46" x14ac:dyDescent="0.3">
      <c r="A11" s="122"/>
      <c r="B11" s="123" t="s">
        <v>136</v>
      </c>
      <c r="C11" s="27" t="s">
        <v>97</v>
      </c>
      <c r="D11" s="69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 x14ac:dyDescent="0.3">
      <c r="A12" s="122"/>
      <c r="B12" s="124"/>
      <c r="C12" s="27" t="s">
        <v>97</v>
      </c>
      <c r="D12" s="69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 x14ac:dyDescent="0.3">
      <c r="A13" s="122"/>
      <c r="B13" s="124"/>
      <c r="C13" s="27" t="s">
        <v>97</v>
      </c>
      <c r="D13" s="69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 x14ac:dyDescent="0.3">
      <c r="A14" s="122"/>
      <c r="B14" s="124"/>
      <c r="C14" s="27" t="s">
        <v>97</v>
      </c>
      <c r="D14" s="69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 x14ac:dyDescent="0.3">
      <c r="A15" s="122"/>
      <c r="B15" s="124"/>
      <c r="C15" s="27" t="s">
        <v>97</v>
      </c>
      <c r="D15" s="69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494654</v>
      </c>
      <c r="J16" s="42">
        <f>46641*(1-0.03)</f>
        <v>45241.77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539895.77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7">
        <f>AS22</f>
        <v>15811.237722286571</v>
      </c>
      <c r="W17" s="57">
        <f>AS23</f>
        <v>14465.960284571867</v>
      </c>
      <c r="X17" s="57">
        <f>AS24</f>
        <v>23400.965820092999</v>
      </c>
      <c r="Y17" s="57">
        <f>AS25</f>
        <v>1399.224539907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506661.38836685842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37">
        <f>PEP노동및자본국산!B34*0.033</f>
        <v>198.00282081142251</v>
      </c>
      <c r="AB22" s="37">
        <f>PEP노동및자본국산!C34*0.033</f>
        <v>3722.75514638198</v>
      </c>
      <c r="AC22" s="37">
        <f>PEP노동및자본국산!D34*0.033</f>
        <v>1653.0913890830079</v>
      </c>
      <c r="AD22" s="37">
        <f>PEP노동및자본국산!E34*0.033</f>
        <v>9199.9958618851269</v>
      </c>
      <c r="AE22" s="37">
        <f>PEP노동및자본국산!F34*0.033</f>
        <v>1037.3925041250338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15811.237722286571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37">
        <f>PEP노동및자본국산!B35*0.033</f>
        <v>175.55135500168342</v>
      </c>
      <c r="AB23" s="37">
        <f>PEP노동및자본국산!C35*0.033</f>
        <v>2440.7467516014312</v>
      </c>
      <c r="AC23" s="37">
        <f>PEP노동및자본국산!D35*0.033</f>
        <v>1693.2474552145788</v>
      </c>
      <c r="AD23" s="37">
        <f>PEP노동및자본국산!E35*0.033</f>
        <v>9311.0622103183487</v>
      </c>
      <c r="AE23" s="37">
        <f>PEP노동및자본국산!F35*0.033</f>
        <v>845.35251243582616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14465.960284571867</v>
      </c>
      <c r="AT23" s="27"/>
    </row>
    <row r="24" spans="1:46" x14ac:dyDescent="0.3">
      <c r="A24" s="122"/>
      <c r="B24" s="124"/>
      <c r="C24" s="27" t="s">
        <v>97</v>
      </c>
      <c r="D24" s="69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37">
        <f>PEP노동및자본국산!B26*0.03</f>
        <v>751.91111442811223</v>
      </c>
      <c r="AB24" s="37">
        <f>PEP노동및자본국산!C26*0.03</f>
        <v>7917.7350338544975</v>
      </c>
      <c r="AC24" s="37">
        <f>PEP노동및자본국산!D26*0.03</f>
        <v>1262.0808373118377</v>
      </c>
      <c r="AD24" s="37">
        <f>PEP노동및자본국산!E26*0.03</f>
        <v>13469.238834498552</v>
      </c>
      <c r="AE24" s="37">
        <f>PEP노동및자본국산!F26*0.03</f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23400.965820092999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7">
        <f>PEP노동및자본국산!B27*0.03</f>
        <v>0</v>
      </c>
      <c r="AB25" s="37">
        <f>PEP노동및자본국산!C27*0.03</f>
        <v>0</v>
      </c>
      <c r="AC25" s="37">
        <f>PEP노동및자본국산!D27*0.03</f>
        <v>0</v>
      </c>
      <c r="AD25" s="37">
        <f>PEP노동및자본국산!E27*0.03</f>
        <v>0</v>
      </c>
      <c r="AE25" s="37">
        <f>PEP노동및자본국산!F27*0.03</f>
        <v>1399.224539907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1399.224539907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761603.0070000001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68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PEP노동및자본국산!B28-PEP노동및자본국산!B29</f>
        <v>40395.729534395927</v>
      </c>
      <c r="AQ32" s="27"/>
      <c r="AR32" s="80">
        <f>PEP노동및자본국산!B29</f>
        <v>1917.1179999999999</v>
      </c>
      <c r="AS32" s="48">
        <f t="shared" si="0"/>
        <v>219191.81203308239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PEP노동및자본국산!C28-PEP노동및자본국산!C29</f>
        <v>126004.75766919579</v>
      </c>
      <c r="AQ33" s="27"/>
      <c r="AR33" s="80">
        <f>PEP노동및자본국산!C29</f>
        <v>18168.096655900001</v>
      </c>
      <c r="AS33" s="48">
        <f t="shared" si="0"/>
        <v>1315727.4417377231</v>
      </c>
      <c r="AT33" s="27"/>
    </row>
    <row r="34" spans="1:46" x14ac:dyDescent="0.3">
      <c r="A34" s="122"/>
      <c r="B34" s="124"/>
      <c r="C34" s="27" t="s">
        <v>99</v>
      </c>
      <c r="D34" s="69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PEP노동및자본국산!D28-PEP노동및자본국산!D29</f>
        <v>257015.46252839692</v>
      </c>
      <c r="AQ34" s="27"/>
      <c r="AR34" s="80">
        <f>PEP노동및자본국산!D29</f>
        <v>464.036</v>
      </c>
      <c r="AS34" s="48">
        <f t="shared" si="0"/>
        <v>395145.68991500931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PEP노동및자본국산!E28-PEP노동및자본국산!E29</f>
        <v>126401.26028640372</v>
      </c>
      <c r="AQ35" s="27"/>
      <c r="AR35" s="80">
        <f>PEP노동및자본국산!E29</f>
        <v>1904.0308132</v>
      </c>
      <c r="AS35" s="48">
        <f t="shared" si="0"/>
        <v>1853473.0537918266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v>46494</v>
      </c>
      <c r="AR36" s="80">
        <f>PEP노동및자본국산!F29</f>
        <v>1540.4355308999998</v>
      </c>
      <c r="AS36" s="48">
        <f t="shared" si="0"/>
        <v>197481.69738285849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22"/>
      <c r="B39" s="124"/>
      <c r="C39" s="27" t="s">
        <v>100</v>
      </c>
      <c r="D39" s="69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22"/>
      <c r="B41" s="68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41"/>
      <c r="J42" s="27">
        <v>0</v>
      </c>
      <c r="K42" s="37">
        <v>4192</v>
      </c>
      <c r="L42" s="37">
        <v>12863</v>
      </c>
      <c r="M42" s="37">
        <v>21478</v>
      </c>
      <c r="N42" s="37">
        <v>24440</v>
      </c>
      <c r="O42" s="37">
        <v>53897</v>
      </c>
      <c r="P42" s="45">
        <v>369084</v>
      </c>
      <c r="Q42" s="45">
        <v>178030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663984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86"/>
      <c r="J43" s="27"/>
      <c r="K43" s="85"/>
      <c r="L43" s="85"/>
      <c r="M43" s="85"/>
      <c r="N43" s="85"/>
      <c r="O43" s="85"/>
      <c r="P43" s="86"/>
      <c r="Q43" s="86"/>
      <c r="R43" s="27"/>
      <c r="S43" s="27"/>
      <c r="T43" s="27"/>
      <c r="U43" s="27"/>
      <c r="V43" s="27"/>
      <c r="W43" s="27"/>
      <c r="X43" s="27"/>
      <c r="Y43" s="27"/>
      <c r="Z43" s="87"/>
      <c r="AA43" s="86">
        <v>-4082</v>
      </c>
      <c r="AB43" s="27"/>
      <c r="AC43" s="27"/>
      <c r="AD43" s="27"/>
      <c r="AE43" s="27"/>
      <c r="AF43" s="27"/>
      <c r="AG43" s="27"/>
      <c r="AH43" s="27"/>
      <c r="AI43" s="27"/>
      <c r="AJ43" s="41">
        <v>7859</v>
      </c>
      <c r="AK43" s="87"/>
      <c r="AL43" s="27"/>
      <c r="AM43" s="27"/>
      <c r="AN43" s="27"/>
      <c r="AO43" s="27"/>
      <c r="AP43" s="86">
        <v>42717</v>
      </c>
      <c r="AQ43" s="27"/>
      <c r="AR43" s="27"/>
      <c r="AS43" s="48">
        <f t="shared" si="0"/>
        <v>46494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83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80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463317.1781045791</v>
      </c>
      <c r="H45" s="48">
        <f t="shared" si="1"/>
        <v>423896.47258124227</v>
      </c>
      <c r="I45" s="48">
        <f t="shared" si="1"/>
        <v>756631.69999999984</v>
      </c>
      <c r="J45" s="48">
        <f t="shared" si="1"/>
        <v>45241.77</v>
      </c>
      <c r="K45" s="48">
        <f t="shared" si="1"/>
        <v>19769.689633302423</v>
      </c>
      <c r="L45" s="48">
        <f t="shared" si="1"/>
        <v>87973.608406727406</v>
      </c>
      <c r="M45" s="48">
        <f t="shared" si="1"/>
        <v>173877.91466426634</v>
      </c>
      <c r="N45" s="48">
        <f t="shared" si="1"/>
        <v>286265.01422127534</v>
      </c>
      <c r="O45" s="48">
        <f t="shared" si="1"/>
        <v>581305.28223520052</v>
      </c>
      <c r="P45" s="48">
        <f t="shared" si="1"/>
        <v>539896</v>
      </c>
      <c r="Q45" s="48">
        <f t="shared" si="1"/>
        <v>506661.13483922771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15811.237722286571</v>
      </c>
      <c r="W45" s="48">
        <f t="shared" si="1"/>
        <v>14465.960284571867</v>
      </c>
      <c r="X45" s="48">
        <f t="shared" si="1"/>
        <v>23400.965820092999</v>
      </c>
      <c r="Y45" s="48">
        <f t="shared" si="1"/>
        <v>1399.224539907</v>
      </c>
      <c r="Z45" s="48">
        <f t="shared" si="1"/>
        <v>761603.00699999998</v>
      </c>
      <c r="AA45" s="48">
        <f t="shared" si="1"/>
        <v>64034.134054360169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197481.50336325853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663983.29501959996</v>
      </c>
      <c r="AQ45" s="48">
        <f t="shared" si="1"/>
        <v>46494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463317.17810457916</v>
      </c>
      <c r="H46" s="11">
        <v>423896.47258124233</v>
      </c>
      <c r="I46" s="11">
        <v>756631.2281830071</v>
      </c>
      <c r="J46" s="11">
        <v>45241.593456993003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539895.77</v>
      </c>
      <c r="Q46" s="11">
        <v>506661.38836685842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15811.237722286571</v>
      </c>
      <c r="W46" s="11">
        <v>14465.960284571867</v>
      </c>
      <c r="X46" s="11">
        <v>23400.965820092999</v>
      </c>
      <c r="Y46" s="11">
        <v>1399.224539907</v>
      </c>
      <c r="Z46" s="11">
        <v>761603.0070000001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219191.81203308239</v>
      </c>
      <c r="AG46" s="11">
        <v>1315727.4417377231</v>
      </c>
      <c r="AH46" s="11">
        <v>395145.68991500931</v>
      </c>
      <c r="AI46" s="11">
        <v>1853473.0537918266</v>
      </c>
      <c r="AJ46" s="11">
        <v>197481.69738285849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663984</v>
      </c>
      <c r="AQ46" s="11">
        <v>46494</v>
      </c>
      <c r="AR46" s="11">
        <v>23993.716999999997</v>
      </c>
    </row>
    <row r="47" spans="1:46" x14ac:dyDescent="0.3">
      <c r="G47" s="84">
        <f>G46-G45</f>
        <v>0</v>
      </c>
      <c r="H47" s="84">
        <f t="shared" ref="H47:AR47" si="2">H46-H45</f>
        <v>0</v>
      </c>
      <c r="I47" s="84">
        <f t="shared" si="2"/>
        <v>-0.47181699273642153</v>
      </c>
      <c r="J47" s="84">
        <f t="shared" si="2"/>
        <v>-0.17654300699359737</v>
      </c>
      <c r="K47" s="84">
        <f t="shared" si="2"/>
        <v>-0.12077724359187414</v>
      </c>
      <c r="L47" s="84">
        <f t="shared" si="2"/>
        <v>0.40166940669587348</v>
      </c>
      <c r="M47" s="84">
        <f t="shared" si="2"/>
        <v>2.6714517996879295E-2</v>
      </c>
      <c r="N47" s="84">
        <f t="shared" si="2"/>
        <v>-0.4860083504463546</v>
      </c>
      <c r="O47" s="84">
        <f t="shared" si="2"/>
        <v>1.9926718552596867E-2</v>
      </c>
      <c r="P47" s="84">
        <f t="shared" si="2"/>
        <v>-0.22999999998137355</v>
      </c>
      <c r="Q47" s="84">
        <f t="shared" si="2"/>
        <v>0.25352763070259243</v>
      </c>
      <c r="R47" s="84">
        <f t="shared" si="2"/>
        <v>-0.31500000017695129</v>
      </c>
      <c r="S47" s="84">
        <f t="shared" si="2"/>
        <v>0</v>
      </c>
      <c r="T47" s="84">
        <f t="shared" si="2"/>
        <v>0.12800000005518086</v>
      </c>
      <c r="U47" s="84">
        <f t="shared" si="2"/>
        <v>0.15599999999903957</v>
      </c>
      <c r="V47" s="84">
        <f t="shared" si="2"/>
        <v>0</v>
      </c>
      <c r="W47" s="84">
        <f t="shared" si="2"/>
        <v>0</v>
      </c>
      <c r="X47" s="84">
        <f t="shared" si="2"/>
        <v>0</v>
      </c>
      <c r="Y47" s="84">
        <f t="shared" si="2"/>
        <v>0</v>
      </c>
      <c r="Z47" s="84">
        <f t="shared" si="2"/>
        <v>0</v>
      </c>
      <c r="AA47" s="84">
        <f t="shared" si="2"/>
        <v>-8.4692679811269045E-2</v>
      </c>
      <c r="AB47" s="84">
        <f t="shared" si="2"/>
        <v>0</v>
      </c>
      <c r="AC47" s="84">
        <f t="shared" si="2"/>
        <v>0</v>
      </c>
      <c r="AD47" s="84">
        <f t="shared" si="2"/>
        <v>0</v>
      </c>
      <c r="AE47" s="84">
        <f t="shared" si="2"/>
        <v>0</v>
      </c>
      <c r="AF47" s="84">
        <f t="shared" si="2"/>
        <v>0</v>
      </c>
      <c r="AG47" s="84">
        <f t="shared" si="2"/>
        <v>0</v>
      </c>
      <c r="AH47" s="84">
        <f t="shared" si="2"/>
        <v>0</v>
      </c>
      <c r="AI47" s="84">
        <f t="shared" si="2"/>
        <v>0</v>
      </c>
      <c r="AJ47" s="84">
        <f t="shared" si="2"/>
        <v>0.19401959996321239</v>
      </c>
      <c r="AK47" s="84">
        <f t="shared" si="2"/>
        <v>0</v>
      </c>
      <c r="AL47" s="84">
        <f t="shared" si="2"/>
        <v>0</v>
      </c>
      <c r="AM47" s="84">
        <f t="shared" si="2"/>
        <v>0</v>
      </c>
      <c r="AN47" s="84">
        <f t="shared" si="2"/>
        <v>0</v>
      </c>
      <c r="AO47" s="84">
        <f t="shared" si="2"/>
        <v>0</v>
      </c>
      <c r="AP47" s="84">
        <f t="shared" si="2"/>
        <v>0.70498040004167706</v>
      </c>
      <c r="AQ47" s="84">
        <f t="shared" si="2"/>
        <v>0</v>
      </c>
      <c r="AR47" s="84">
        <f t="shared" si="2"/>
        <v>0</v>
      </c>
    </row>
    <row r="48" spans="1:46" x14ac:dyDescent="0.3">
      <c r="K48" s="14"/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opLeftCell="B1" zoomScale="55" zoomScaleNormal="55" workbookViewId="0">
      <selection activeCell="P17" sqref="P17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28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28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28"/>
      <c r="AP3" s="125" t="s">
        <v>94</v>
      </c>
      <c r="AQ3" s="125"/>
      <c r="AR3" s="126"/>
      <c r="AS3" s="126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 x14ac:dyDescent="0.3">
      <c r="A9" s="122"/>
      <c r="B9" s="123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 x14ac:dyDescent="0.3">
      <c r="A11" s="122"/>
      <c r="B11" s="123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PEP노동및자본국산!B52</f>
        <v>7230.0283293665161</v>
      </c>
      <c r="H11" s="19">
        <f>PEP노동및자본국산!C52</f>
        <v>6614.8713026762443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20226.450543916246</v>
      </c>
      <c r="AT11" s="27"/>
    </row>
    <row r="12" spans="1:46" x14ac:dyDescent="0.3">
      <c r="A12" s="122"/>
      <c r="B12" s="124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PEP노동및자본국산!B53</f>
        <v>34860.870860826661</v>
      </c>
      <c r="H12" s="19">
        <f>PEP노동및자본국산!C53</f>
        <v>31894.781560806077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90176.946606047975</v>
      </c>
      <c r="AT12" s="27"/>
    </row>
    <row r="13" spans="1:46" x14ac:dyDescent="0.3">
      <c r="A13" s="122"/>
      <c r="B13" s="124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PEP노동및자본국산!B54</f>
        <v>70732.934494991307</v>
      </c>
      <c r="H13" s="19">
        <f>PEP노동및자본국산!C54</f>
        <v>64714.719947161284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178347.71397537537</v>
      </c>
      <c r="AT13" s="27"/>
    </row>
    <row r="14" spans="1:46" x14ac:dyDescent="0.3">
      <c r="A14" s="122"/>
      <c r="B14" s="124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PEP노동및자본국산!B55</f>
        <v>121520.09153589109</v>
      </c>
      <c r="H14" s="19">
        <f>PEP노동및자본국산!C55</f>
        <v>111180.72151036611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293943.65504345141</v>
      </c>
      <c r="AT14" s="27"/>
    </row>
    <row r="15" spans="1:46" x14ac:dyDescent="0.3">
      <c r="A15" s="122"/>
      <c r="B15" s="124"/>
      <c r="C15" s="27" t="s">
        <v>97</v>
      </c>
      <c r="D15" s="26" t="s">
        <v>144</v>
      </c>
      <c r="E15" s="27"/>
      <c r="F15" s="35" t="s">
        <v>145</v>
      </c>
      <c r="G15" s="19">
        <f>PEP노동및자본국산!B56</f>
        <v>244784.49060579014</v>
      </c>
      <c r="H15" s="19">
        <f>PEP노동및자본국산!C56</f>
        <v>223957.33854480443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596773.78252388875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7">
        <f>AS22</f>
        <v>0</v>
      </c>
      <c r="W17" s="57">
        <f>AS23</f>
        <v>0</v>
      </c>
      <c r="X17" s="57">
        <f>AS24</f>
        <v>0</v>
      </c>
      <c r="Y17" s="57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43">
        <v>0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451584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 x14ac:dyDescent="0.3">
      <c r="A24" s="122"/>
      <c r="B24" s="124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미시사회행렬국산!AC36</f>
        <v>47455.368001207637</v>
      </c>
      <c r="AQ26" s="27"/>
      <c r="AR26" s="27"/>
      <c r="AS26" s="48">
        <f t="shared" si="0"/>
        <v>761613.0070000001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f>PEP노동및자본국산!B28</f>
        <v>42312.847534395929</v>
      </c>
      <c r="AQ32" s="27"/>
      <c r="AR32" s="27">
        <v>-600</v>
      </c>
      <c r="AS32" s="48">
        <f t="shared" si="0"/>
        <v>218591.81203308242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f>PEP노동및자본국산!C28</f>
        <v>144172.8543250958</v>
      </c>
      <c r="AQ33" s="27"/>
      <c r="AR33" s="27">
        <v>200</v>
      </c>
      <c r="AS33" s="48">
        <f t="shared" si="0"/>
        <v>1315927.4417377233</v>
      </c>
      <c r="AT33" s="27"/>
    </row>
    <row r="34" spans="1:46" x14ac:dyDescent="0.3">
      <c r="A34" s="122"/>
      <c r="B34" s="124"/>
      <c r="C34" s="27" t="s">
        <v>99</v>
      </c>
      <c r="D34" s="26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f>PEP노동및자본국산!D28</f>
        <v>257479.49852839691</v>
      </c>
      <c r="AQ34" s="27"/>
      <c r="AR34" s="27"/>
      <c r="AS34" s="48">
        <f t="shared" si="0"/>
        <v>395145.68991500931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45">
        <f>PEP노동및자본국산!E28</f>
        <v>128305.29109960372</v>
      </c>
      <c r="AQ35" s="27"/>
      <c r="AR35" s="27"/>
      <c r="AS35" s="48">
        <f t="shared" si="0"/>
        <v>1853473.0537918266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45">
        <f>PEP노동및자본국산!F28</f>
        <v>0</v>
      </c>
      <c r="AQ36" s="45">
        <f>미시사회행렬국산!AD37</f>
        <v>40175.241511299995</v>
      </c>
      <c r="AR36" s="27"/>
      <c r="AS36" s="48">
        <f t="shared" si="0"/>
        <v>189622.5033632585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22"/>
      <c r="B39" s="124"/>
      <c r="C39" s="27" t="s">
        <v>100</v>
      </c>
      <c r="D39" s="26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22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5">
        <f>미시사회행렬국산!AA29</f>
        <v>349684.23273233708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619725.85948869982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5">
        <f>미시사회행렬국산!AA30</f>
        <v>33485.068267662937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479128.4158268657</v>
      </c>
      <c r="H45" s="48">
        <f t="shared" si="1"/>
        <v>438362.43286581413</v>
      </c>
      <c r="I45" s="48">
        <f t="shared" si="1"/>
        <v>780031.69999999984</v>
      </c>
      <c r="J45" s="48">
        <f t="shared" si="1"/>
        <v>46641</v>
      </c>
      <c r="K45" s="48">
        <f t="shared" si="1"/>
        <v>19062.628591890931</v>
      </c>
      <c r="L45" s="48">
        <f t="shared" si="1"/>
        <v>87900.881757358526</v>
      </c>
      <c r="M45" s="48">
        <f t="shared" si="1"/>
        <v>175827.46242776187</v>
      </c>
      <c r="N45" s="48">
        <f t="shared" si="1"/>
        <v>295279.4807714991</v>
      </c>
      <c r="O45" s="48">
        <f t="shared" si="1"/>
        <v>597326.01045148936</v>
      </c>
      <c r="P45" s="48">
        <f t="shared" si="1"/>
        <v>553981.30099999998</v>
      </c>
      <c r="Q45" s="48">
        <f t="shared" si="1"/>
        <v>462297.97999999986</v>
      </c>
      <c r="R45" s="48">
        <f t="shared" si="1"/>
        <v>96356</v>
      </c>
      <c r="S45" s="48">
        <f t="shared" si="1"/>
        <v>72174</v>
      </c>
      <c r="T45" s="48">
        <f t="shared" si="1"/>
        <v>160659</v>
      </c>
      <c r="U45" s="48">
        <f t="shared" si="1"/>
        <v>23757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68116.134054360169</v>
      </c>
      <c r="AB45" s="48">
        <f t="shared" si="1"/>
        <v>1488475.1483935632</v>
      </c>
      <c r="AC45" s="48">
        <f t="shared" si="1"/>
        <v>396189.9247758445</v>
      </c>
      <c r="AD45" s="48">
        <f t="shared" si="1"/>
        <v>1856429.0131069275</v>
      </c>
      <c r="AE45" s="48">
        <f t="shared" si="1"/>
        <v>191730.57720409232</v>
      </c>
      <c r="AF45" s="48">
        <f t="shared" si="1"/>
        <v>219191.81203308242</v>
      </c>
      <c r="AG45" s="48">
        <f t="shared" si="1"/>
        <v>1315727.4417377235</v>
      </c>
      <c r="AH45" s="48">
        <f t="shared" si="1"/>
        <v>395145.68991500931</v>
      </c>
      <c r="AI45" s="48">
        <f t="shared" si="1"/>
        <v>1853473.0537918268</v>
      </c>
      <c r="AJ45" s="48">
        <f t="shared" si="1"/>
        <v>189622.50336325853</v>
      </c>
      <c r="AK45" s="48">
        <f t="shared" si="1"/>
        <v>3828.8519669175562</v>
      </c>
      <c r="AL45" s="48">
        <f t="shared" si="1"/>
        <v>618894.43178437673</v>
      </c>
      <c r="AM45" s="48">
        <f t="shared" si="1"/>
        <v>1279.7410849907826</v>
      </c>
      <c r="AN45" s="48">
        <f t="shared" si="1"/>
        <v>112039.09594657339</v>
      </c>
      <c r="AO45" s="48">
        <f t="shared" si="1"/>
        <v>25560.886217141506</v>
      </c>
      <c r="AP45" s="48">
        <f t="shared" si="1"/>
        <v>619325.85948870005</v>
      </c>
      <c r="AQ45" s="48">
        <f t="shared" si="1"/>
        <v>40175.241511299995</v>
      </c>
      <c r="AR45" s="48">
        <f t="shared" si="1"/>
        <v>-400</v>
      </c>
      <c r="AS45" s="48"/>
      <c r="AT45" s="27"/>
    </row>
    <row r="46" spans="1:46" x14ac:dyDescent="0.3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20226.450543916246</v>
      </c>
      <c r="L46" s="11">
        <v>90176.946606047975</v>
      </c>
      <c r="M46" s="11">
        <v>178347.71397537537</v>
      </c>
      <c r="N46" s="11">
        <v>293943.65504345141</v>
      </c>
      <c r="O46" s="11">
        <v>596773.78252388875</v>
      </c>
      <c r="P46" s="11">
        <v>564695</v>
      </c>
      <c r="Q46" s="11">
        <v>451584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761613.0070000001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218591.81203308242</v>
      </c>
      <c r="AG46" s="11">
        <v>1315927.4417377233</v>
      </c>
      <c r="AH46" s="11">
        <v>395145.68991500931</v>
      </c>
      <c r="AI46" s="11">
        <v>1853473.0537918266</v>
      </c>
      <c r="AJ46" s="11">
        <v>189622.5033632585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619725.85948869982</v>
      </c>
      <c r="AQ46" s="11">
        <v>40175.241511300002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zoomScale="70" zoomScaleNormal="70" workbookViewId="0">
      <pane xSplit="6" ySplit="6" topLeftCell="G10" activePane="bottomRight" state="frozen"/>
      <selection pane="topRight" activeCell="G1" sqref="G1"/>
      <selection pane="bottomLeft" activeCell="A7" sqref="A7"/>
      <selection pane="bottomRight" activeCell="V28" sqref="V28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70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70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70"/>
      <c r="AP3" s="125" t="s">
        <v>94</v>
      </c>
      <c r="AQ3" s="125"/>
      <c r="AR3" s="126"/>
      <c r="AS3" s="126"/>
      <c r="AT3" s="70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85">
        <f>PEP노동및자본국산초기!B34</f>
        <v>6144.7776329999997</v>
      </c>
      <c r="AB7" s="85">
        <f>PEP노동및자본국산초기!C34</f>
        <v>116420.22792528239</v>
      </c>
      <c r="AC7" s="85">
        <f>PEP노동및자본국산초기!D34</f>
        <v>49068.346678000002</v>
      </c>
      <c r="AD7" s="85">
        <f>PEP노동및자본국산초기!E34</f>
        <v>276880.29519863438</v>
      </c>
      <c r="AE7" s="85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479819.21859134099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85">
        <f>PEP노동및자본국산초기!B35</f>
        <v>1286.0300594999999</v>
      </c>
      <c r="AB8" s="85">
        <f>PEP노동및자본국산초기!C35</f>
        <v>76328.493805317601</v>
      </c>
      <c r="AC8" s="85">
        <f>PEP노동및자본국산초기!D35</f>
        <v>50260.290322000001</v>
      </c>
      <c r="AD8" s="85">
        <f>PEP노동및자본국산초기!E35</f>
        <v>280222.91445656563</v>
      </c>
      <c r="AE8" s="85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 x14ac:dyDescent="0.3">
      <c r="A9" s="122"/>
      <c r="B9" s="123" t="s">
        <v>133</v>
      </c>
      <c r="C9" s="27" t="s">
        <v>96</v>
      </c>
      <c r="D9" s="69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85">
        <f>PEP노동및자본국산초기!B26</f>
        <v>25768.433999999997</v>
      </c>
      <c r="AB9" s="85">
        <f>PEP노동및자본국산초기!C26</f>
        <v>273674.4123729</v>
      </c>
      <c r="AC9" s="85">
        <f>PEP노동및자본국산초기!D26</f>
        <v>40129.675999999999</v>
      </c>
      <c r="AD9" s="85">
        <f>PEP노동및자본국산초기!E26</f>
        <v>440459.67163020006</v>
      </c>
      <c r="AE9" s="85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85">
        <f>PEP노동및자본국산초기!B27</f>
        <v>0</v>
      </c>
      <c r="AB10" s="85">
        <f>PEP노동및자본국산초기!C27</f>
        <v>0</v>
      </c>
      <c r="AC10" s="85">
        <f>PEP노동및자본국산초기!D27</f>
        <v>0</v>
      </c>
      <c r="AD10" s="85">
        <f>PEP노동및자본국산초기!E27</f>
        <v>0</v>
      </c>
      <c r="AE10" s="85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 x14ac:dyDescent="0.3">
      <c r="A11" s="122"/>
      <c r="B11" s="123" t="s">
        <v>136</v>
      </c>
      <c r="C11" s="27" t="s">
        <v>97</v>
      </c>
      <c r="D11" s="69" t="s">
        <v>137</v>
      </c>
      <c r="E11" s="27" t="s">
        <v>106</v>
      </c>
      <c r="F11" s="35" t="s">
        <v>138</v>
      </c>
      <c r="G11" s="90">
        <f>PEP노동및자본국산초기!B52</f>
        <v>7240.452515017334</v>
      </c>
      <c r="H11" s="90">
        <f>PEP노동및자본국산초기!C52</f>
        <v>6543.1282522519641</v>
      </c>
      <c r="I11" s="9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20165.131679142782</v>
      </c>
      <c r="AT11" s="27"/>
    </row>
    <row r="12" spans="1:46" x14ac:dyDescent="0.3">
      <c r="A12" s="122"/>
      <c r="B12" s="124"/>
      <c r="C12" s="27" t="s">
        <v>97</v>
      </c>
      <c r="D12" s="69" t="s">
        <v>172</v>
      </c>
      <c r="E12" s="27" t="s">
        <v>107</v>
      </c>
      <c r="F12" s="35" t="s">
        <v>140</v>
      </c>
      <c r="G12" s="90">
        <f>PEP노동및자본국산초기!B53</f>
        <v>34911.132930800355</v>
      </c>
      <c r="H12" s="90">
        <f>PEP노동및자본국산초기!C53</f>
        <v>31548.859649844257</v>
      </c>
      <c r="I12" s="9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89881.286765059864</v>
      </c>
      <c r="AT12" s="27"/>
    </row>
    <row r="13" spans="1:46" x14ac:dyDescent="0.3">
      <c r="A13" s="122"/>
      <c r="B13" s="124"/>
      <c r="C13" s="27" t="s">
        <v>97</v>
      </c>
      <c r="D13" s="69" t="s">
        <v>139</v>
      </c>
      <c r="E13" s="27" t="s">
        <v>108</v>
      </c>
      <c r="F13" s="35" t="s">
        <v>141</v>
      </c>
      <c r="G13" s="90">
        <f>PEP노동및자본국산초기!B54</f>
        <v>70834.916563001738</v>
      </c>
      <c r="H13" s="90">
        <f>PEP노동및자본국산초기!C54</f>
        <v>64012.842132171318</v>
      </c>
      <c r="I13" s="9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177747.81822839586</v>
      </c>
      <c r="AT13" s="27"/>
    </row>
    <row r="14" spans="1:46" x14ac:dyDescent="0.3">
      <c r="A14" s="122"/>
      <c r="B14" s="124"/>
      <c r="C14" s="27" t="s">
        <v>97</v>
      </c>
      <c r="D14" s="69" t="s">
        <v>142</v>
      </c>
      <c r="E14" s="27" t="s">
        <v>109</v>
      </c>
      <c r="F14" s="35" t="s">
        <v>143</v>
      </c>
      <c r="G14" s="90">
        <f>PEP노동및자본국산초기!B55</f>
        <v>121695.29804086829</v>
      </c>
      <c r="H14" s="90">
        <f>PEP노동및자본국산초기!C55</f>
        <v>109974.88639361957</v>
      </c>
      <c r="I14" s="9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292913.02643168211</v>
      </c>
      <c r="AT14" s="27"/>
    </row>
    <row r="15" spans="1:46" x14ac:dyDescent="0.3">
      <c r="A15" s="122"/>
      <c r="B15" s="124"/>
      <c r="C15" s="27" t="s">
        <v>97</v>
      </c>
      <c r="D15" s="69" t="s">
        <v>144</v>
      </c>
      <c r="E15" s="27"/>
      <c r="F15" s="35" t="s">
        <v>145</v>
      </c>
      <c r="G15" s="90">
        <f>PEP노동및자본국산초기!B56</f>
        <v>245137.41854165326</v>
      </c>
      <c r="H15" s="90">
        <f>PEP노동및자본국산초기!C56</f>
        <v>221528.35967327192</v>
      </c>
      <c r="I15" s="9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594697.73158821941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86">
        <f>미시사회행렬초기!X27</f>
        <v>518054.49400310015</v>
      </c>
      <c r="J16" s="86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86">
        <f>미시사회행렬초기!AA28</f>
        <v>138813.37551130017</v>
      </c>
      <c r="Q17" s="27">
        <v>0</v>
      </c>
      <c r="R17" s="86">
        <f>SUM(K18:O18)</f>
        <v>96377.730160772247</v>
      </c>
      <c r="S17" s="86">
        <f>미시사회행렬초기!AF28</f>
        <v>72174.278000000006</v>
      </c>
      <c r="T17" s="86">
        <f>SUM(AA20:AE20)</f>
        <v>328666.73284210812</v>
      </c>
      <c r="U17" s="86">
        <f>SUM(AF21:AJ21)</f>
        <v>23757.155999999999</v>
      </c>
      <c r="V17" s="57">
        <f>AS22</f>
        <v>0</v>
      </c>
      <c r="W17" s="57">
        <f>AS23</f>
        <v>0</v>
      </c>
      <c r="X17" s="57">
        <f>AS24</f>
        <v>0</v>
      </c>
      <c r="Y17" s="57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95">
        <v>-149689.97936168034</v>
      </c>
      <c r="AG17" s="95">
        <v>1567.3444925369695</v>
      </c>
      <c r="AH17" s="95">
        <v>22.873224155453499</v>
      </c>
      <c r="AI17" s="95">
        <v>-15945.84729652782</v>
      </c>
      <c r="AJ17" s="95">
        <v>-3961.9959005924175</v>
      </c>
      <c r="AK17" s="43">
        <v>0</v>
      </c>
      <c r="AL17" s="27">
        <v>0</v>
      </c>
      <c r="AM17" s="27"/>
      <c r="AN17" s="27">
        <v>0</v>
      </c>
      <c r="AO17" s="27"/>
      <c r="AP17" s="86">
        <v>-31024.123202972231</v>
      </c>
      <c r="AQ17" s="96">
        <v>1540.435530900002</v>
      </c>
      <c r="AR17" s="27"/>
      <c r="AS17" s="48">
        <f t="shared" si="0"/>
        <v>462297.98000000016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90">
        <v>2556.7103920545633</v>
      </c>
      <c r="L18" s="90">
        <v>8992.1248444948433</v>
      </c>
      <c r="M18" s="90">
        <v>16147.181111256301</v>
      </c>
      <c r="N18" s="90">
        <v>22075.414590905479</v>
      </c>
      <c r="O18" s="9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86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90">
        <v>-169.85463831963716</v>
      </c>
      <c r="AB20" s="90">
        <v>138683.90546356305</v>
      </c>
      <c r="AC20" s="90">
        <v>71261.227775844513</v>
      </c>
      <c r="AD20" s="90">
        <v>111054.32088312786</v>
      </c>
      <c r="AE20" s="9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328666.73284210812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94">
        <f>PEP수출입국산초기!L12</f>
        <v>6612.9930000000004</v>
      </c>
      <c r="AG21" s="94">
        <f>PEP수출입국산초기!M12</f>
        <v>16859.252943799998</v>
      </c>
      <c r="AH21" s="94">
        <f>PEP수출입국산초기!N12</f>
        <v>0</v>
      </c>
      <c r="AI21" s="94">
        <f>PEP수출입국산초기!O12</f>
        <v>0.83767599999999998</v>
      </c>
      <c r="AJ21" s="9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 x14ac:dyDescent="0.3">
      <c r="A24" s="122"/>
      <c r="B24" s="124"/>
      <c r="C24" s="27" t="s">
        <v>97</v>
      </c>
      <c r="D24" s="69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94">
        <f>PEP수출입국산초기!L11</f>
        <v>152203.76699999999</v>
      </c>
      <c r="AG26" s="94">
        <f>PEP수출입국산초기!M11</f>
        <v>427720.12769220001</v>
      </c>
      <c r="AH26" s="94">
        <f>PEP수출입국산초기!N11</f>
        <v>212.63299999999998</v>
      </c>
      <c r="AI26" s="94">
        <f>PEP수출입국산초기!O11</f>
        <v>104905.26024839999</v>
      </c>
      <c r="AJ26" s="9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86">
        <v>53771.672999999952</v>
      </c>
      <c r="AQ26" s="27"/>
      <c r="AR26" s="27"/>
      <c r="AS26" s="48">
        <f t="shared" si="0"/>
        <v>761603.00699999998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86">
        <f>PEP수출입국산초기!L40</f>
        <v>62840.173361680361</v>
      </c>
      <c r="AG27" s="27"/>
      <c r="AH27" s="27"/>
      <c r="AI27" s="27"/>
      <c r="AJ27" s="27"/>
      <c r="AK27" s="9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86">
        <f>PEP수출입국산초기!M41</f>
        <v>866711.09740446298</v>
      </c>
      <c r="AH28" s="27"/>
      <c r="AI28" s="27"/>
      <c r="AJ28" s="27"/>
      <c r="AK28" s="27"/>
      <c r="AL28" s="9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86">
        <f>PEP수출입국산초기!N42</f>
        <v>394888.99377584457</v>
      </c>
      <c r="AI29" s="27"/>
      <c r="AJ29" s="27"/>
      <c r="AK29" s="27"/>
      <c r="AL29" s="27"/>
      <c r="AM29" s="9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86">
        <f>PEP수출입국산초기!O43</f>
        <v>1744612.806284328</v>
      </c>
      <c r="AJ30" s="27"/>
      <c r="AK30" s="27">
        <v>0</v>
      </c>
      <c r="AL30" s="27">
        <v>0</v>
      </c>
      <c r="AM30" s="27"/>
      <c r="AN30" s="9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68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86">
        <f>PEP수출입국산초기!P44</f>
        <v>166202.63501579236</v>
      </c>
      <c r="AK31" s="27"/>
      <c r="AL31" s="27"/>
      <c r="AM31" s="27"/>
      <c r="AN31" s="27"/>
      <c r="AO31" s="9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91">
        <f>PEP상품및가계소비국산초기!B26</f>
        <v>270.30362042948349</v>
      </c>
      <c r="L32" s="91">
        <f>PEP상품및가계소비국산초기!C26</f>
        <v>1303.317106896006</v>
      </c>
      <c r="M32" s="91">
        <f>PEP상품및가계소비국산초기!D26</f>
        <v>2644.4389159499819</v>
      </c>
      <c r="N32" s="91">
        <f>PEP상품및가계소비국산초기!E26</f>
        <v>4543.1800818340116</v>
      </c>
      <c r="O32" s="91">
        <f>PEP상품및가계소비국산초기!F26</f>
        <v>9151.5732748905193</v>
      </c>
      <c r="P32" s="47">
        <f>Q32*X47/100</f>
        <v>0</v>
      </c>
      <c r="Q32" s="9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85">
        <f>PEP산업국산초기!B31</f>
        <v>4081.9709999999995</v>
      </c>
      <c r="AB32" s="85">
        <f>PEP산업국산초기!C31</f>
        <v>35522.330121899999</v>
      </c>
      <c r="AC32" s="85">
        <f>PEP산업국산초기!D31</f>
        <v>1055.6590000000001</v>
      </c>
      <c r="AD32" s="85">
        <f>PEP산업국산초기!E31</f>
        <v>10844.1333118</v>
      </c>
      <c r="AE32" s="85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86">
        <f>PEP노동및자본국산초기!B28-AR32</f>
        <v>457.05799999999999</v>
      </c>
      <c r="AQ32" s="27"/>
      <c r="AR32" s="85">
        <f>PEP노동및자본국산초기!B29</f>
        <v>1917.1179999999999</v>
      </c>
      <c r="AS32" s="48">
        <f t="shared" si="0"/>
        <v>71966.954000000012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91">
        <f>PEP상품및가계소비국산초기!B27</f>
        <v>3225.8931406120719</v>
      </c>
      <c r="L33" s="91">
        <f>PEP상품및가계소비국산초기!C27</f>
        <v>15554.219024140022</v>
      </c>
      <c r="M33" s="91">
        <f>PEP상품및가계소비국산초기!D27</f>
        <v>31559.611914099914</v>
      </c>
      <c r="N33" s="91">
        <f>PEP상품및가계소비국산초기!E27</f>
        <v>54219.819324902914</v>
      </c>
      <c r="O33" s="91">
        <f>PEP상품및가계소비국산초기!F27</f>
        <v>109217.91356834507</v>
      </c>
      <c r="P33" s="47">
        <f>Q33*X47/100</f>
        <v>0</v>
      </c>
      <c r="Q33" s="9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85">
        <f>PEP산업국산초기!B32</f>
        <v>17314.901140899998</v>
      </c>
      <c r="AB33" s="85">
        <f>PEP산업국산초기!C32</f>
        <v>585018.29295630183</v>
      </c>
      <c r="AC33" s="85">
        <f>PEP산업국산초기!D32</f>
        <v>106719.7556533</v>
      </c>
      <c r="AD33" s="85">
        <f>PEP산업국산초기!E32</f>
        <v>208524.20620411215</v>
      </c>
      <c r="AE33" s="85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86">
        <f>PEP노동및자본국산초기!C28-AR33</f>
        <v>145047.8633458</v>
      </c>
      <c r="AQ33" s="27"/>
      <c r="AR33" s="85">
        <f>PEP노동및자본국산초기!C29</f>
        <v>18168.096655900001</v>
      </c>
      <c r="AS33" s="48">
        <f t="shared" si="0"/>
        <v>1312857.822533</v>
      </c>
      <c r="AT33" s="27"/>
    </row>
    <row r="34" spans="1:46" x14ac:dyDescent="0.3">
      <c r="A34" s="122"/>
      <c r="B34" s="124"/>
      <c r="C34" s="27" t="s">
        <v>99</v>
      </c>
      <c r="D34" s="69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91">
        <f>PEP상품및가계소비국산초기!B28</f>
        <v>341.35531282646548</v>
      </c>
      <c r="L34" s="91">
        <f>PEP상품및가계소비국산초기!C28</f>
        <v>1645.9055118450904</v>
      </c>
      <c r="M34" s="91">
        <f>PEP상품및가계소비국산초기!D28</f>
        <v>3339.5530254840919</v>
      </c>
      <c r="N34" s="91">
        <f>PEP상품및가계소비국산초기!E28</f>
        <v>5737.395065583285</v>
      </c>
      <c r="O34" s="91">
        <f>PEP상품및가계소비국산초기!F28</f>
        <v>11557.145084261065</v>
      </c>
      <c r="P34" s="47">
        <f>Q34*X47/100</f>
        <v>0</v>
      </c>
      <c r="Q34" s="9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85">
        <f>PEP산업국산초기!B33</f>
        <v>1122.4090000000001</v>
      </c>
      <c r="AB34" s="85">
        <f>PEP산업국산초기!C33</f>
        <v>39197.677210200003</v>
      </c>
      <c r="AC34" s="85">
        <f>PEP산업국산초기!D33</f>
        <v>17862.173999999999</v>
      </c>
      <c r="AD34" s="85">
        <f>PEP산업국산초기!E33</f>
        <v>50072.794377199993</v>
      </c>
      <c r="AE34" s="85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86">
        <f>PEP노동및자본국산초기!D28-AR34</f>
        <v>260082.682</v>
      </c>
      <c r="AQ34" s="27"/>
      <c r="AR34" s="85">
        <f>PEP노동및자본국산초기!D29</f>
        <v>464.036</v>
      </c>
      <c r="AS34" s="48">
        <f t="shared" si="0"/>
        <v>395124.5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91">
        <f>PEP상품및가계소비국산초기!B29</f>
        <v>9710.3693051705177</v>
      </c>
      <c r="L35" s="91">
        <f>PEP상품및가계소비국산초기!C29</f>
        <v>46820.277174231269</v>
      </c>
      <c r="M35" s="91">
        <f>PEP상품및가계소비국산초기!D29</f>
        <v>94998.647957577297</v>
      </c>
      <c r="N35" s="91">
        <f>PEP상품및가계소비국산초기!E29</f>
        <v>163208.89947536602</v>
      </c>
      <c r="O35" s="91">
        <f>PEP상품및가계소비국산초기!F29</f>
        <v>328760.51042645494</v>
      </c>
      <c r="P35" s="47">
        <f>Q35*X47/100</f>
        <v>0</v>
      </c>
      <c r="Q35" s="9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85">
        <f>PEP산업국산초기!B34</f>
        <v>7449.9100844000004</v>
      </c>
      <c r="AB35" s="85">
        <f>PEP산업국산초기!C34</f>
        <v>186170.38988631585</v>
      </c>
      <c r="AC35" s="85">
        <f>PEP산업국산초기!D34</f>
        <v>46447.725277800004</v>
      </c>
      <c r="AD35" s="85">
        <f>PEP산업국산초기!E34</f>
        <v>430701.30968346947</v>
      </c>
      <c r="AE35" s="85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86">
        <f>PEP노동및자본국산초기!E28-AR35</f>
        <v>137903.30167380002</v>
      </c>
      <c r="AQ35" s="27"/>
      <c r="AR35" s="85">
        <f>PEP노동및자본국산초기!E29</f>
        <v>1904.0308132</v>
      </c>
      <c r="AS35" s="48">
        <f t="shared" si="0"/>
        <v>1833573.0569122001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91">
        <f>PEP상품및가계소비국산초기!B30</f>
        <v>575.28132206419036</v>
      </c>
      <c r="L36" s="91">
        <f>PEP상품및가계소비국산초기!C30</f>
        <v>2773.8214794633509</v>
      </c>
      <c r="M36" s="91">
        <f>PEP상품및가계소비국산초기!D30</f>
        <v>5628.1018850895261</v>
      </c>
      <c r="N36" s="91">
        <f>PEP상품및가계소비국산초기!E30</f>
        <v>9669.1514516173556</v>
      </c>
      <c r="O36" s="91">
        <f>PEP상품및가계소비국산초기!F30</f>
        <v>19477.094550865575</v>
      </c>
      <c r="P36" s="47">
        <f>Q36*X47/100</f>
        <v>0</v>
      </c>
      <c r="Q36" s="9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85">
        <f>PEP산업국산초기!B35</f>
        <v>1054.0017747000002</v>
      </c>
      <c r="AB36" s="85">
        <f>PEP산업국산초기!C35</f>
        <v>37459.418651782304</v>
      </c>
      <c r="AC36" s="85">
        <f>PEP산업국산초기!D35</f>
        <v>13385.070068899999</v>
      </c>
      <c r="AD36" s="85">
        <f>PEP산업국산초기!E35</f>
        <v>47669.367361818317</v>
      </c>
      <c r="AE36" s="85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86">
        <f>PEP노동및자본국산초기!F28</f>
        <v>0</v>
      </c>
      <c r="AQ36" s="86">
        <f>미시사회행렬초기!AD37-AR36</f>
        <v>38634.8059804</v>
      </c>
      <c r="AR36" s="85">
        <f>PEP노동및자본국산초기!F29</f>
        <v>1540.4355308999998</v>
      </c>
      <c r="AS36" s="48">
        <f t="shared" si="0"/>
        <v>185304.25755479996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86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86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 x14ac:dyDescent="0.3">
      <c r="A39" s="122"/>
      <c r="B39" s="124"/>
      <c r="C39" s="27" t="s">
        <v>100</v>
      </c>
      <c r="D39" s="69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86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86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 x14ac:dyDescent="0.3">
      <c r="A41" s="122"/>
      <c r="B41" s="68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86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85">
        <f>PEP노동및자본국산!B47</f>
        <v>3484.9389585885074</v>
      </c>
      <c r="L42" s="85">
        <f>PEP노동및자본국산!C47</f>
        <v>12790.27335063112</v>
      </c>
      <c r="M42" s="85">
        <f>PEP노동및자본국산!D47</f>
        <v>23427.547763495517</v>
      </c>
      <c r="N42" s="85">
        <f>PEP노동및자본국산!E47</f>
        <v>33444.46655022374</v>
      </c>
      <c r="O42" s="85">
        <f>PEP노동및자본국산!F47</f>
        <v>69917.7282162888</v>
      </c>
      <c r="P42" s="86">
        <f>미시사회행렬초기!AA29</f>
        <v>320695.66253886477</v>
      </c>
      <c r="Q42" s="86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86">
        <f>미시사회행렬초기!AA30</f>
        <v>33011.995949835211</v>
      </c>
      <c r="Q43" s="86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85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479819.21859134099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328666.73284210812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64052.580054180362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71966.953999999998</v>
      </c>
      <c r="AG45" s="48">
        <f t="shared" si="1"/>
        <v>1312857.822533</v>
      </c>
      <c r="AH45" s="48">
        <f t="shared" si="1"/>
        <v>395124.5</v>
      </c>
      <c r="AI45" s="48">
        <f t="shared" si="1"/>
        <v>1833573.0569122001</v>
      </c>
      <c r="AJ45" s="48">
        <f t="shared" si="1"/>
        <v>185304.25755479996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590232.17181662761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479819.21859134099</v>
      </c>
      <c r="H46" s="11">
        <v>433608.07610115904</v>
      </c>
      <c r="I46" s="11">
        <v>780032.19400310004</v>
      </c>
      <c r="J46" s="11">
        <v>46640.817996899998</v>
      </c>
      <c r="K46" s="11">
        <v>20165.131679142782</v>
      </c>
      <c r="L46" s="11">
        <v>89881.286765059864</v>
      </c>
      <c r="M46" s="11">
        <v>177747.81822839586</v>
      </c>
      <c r="N46" s="11">
        <v>292913.02643168211</v>
      </c>
      <c r="O46" s="11">
        <v>594697.73158821941</v>
      </c>
      <c r="P46" s="11">
        <v>564695.31200000015</v>
      </c>
      <c r="Q46" s="11">
        <v>462297.98000000016</v>
      </c>
      <c r="R46" s="11">
        <v>96377.730160772247</v>
      </c>
      <c r="S46" s="11">
        <v>72174.278000000006</v>
      </c>
      <c r="T46" s="11">
        <v>328666.73284210812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 x14ac:dyDescent="0.3">
      <c r="Z48" s="14"/>
      <c r="AP48" s="14"/>
    </row>
    <row r="49" spans="11:43" x14ac:dyDescent="0.3">
      <c r="AP49" s="14"/>
      <c r="AQ49" s="14"/>
    </row>
    <row r="50" spans="11:43" x14ac:dyDescent="0.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0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0</v>
      </c>
      <c r="AJ50" s="14">
        <f t="shared" si="2"/>
        <v>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0"/>
  <sheetViews>
    <sheetView zoomScale="70" zoomScaleNormal="70" workbookViewId="0">
      <pane xSplit="6" ySplit="6" topLeftCell="V12" activePane="bottomRight" state="frozen"/>
      <selection pane="topRight" activeCell="G1" sqref="G1"/>
      <selection pane="bottomLeft" activeCell="A7" sqref="A7"/>
      <selection pane="bottomRight" activeCell="AK23" sqref="AK23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70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70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70"/>
      <c r="AP3" s="125" t="s">
        <v>94</v>
      </c>
      <c r="AQ3" s="125"/>
      <c r="AR3" s="126"/>
      <c r="AS3" s="126"/>
      <c r="AT3" s="70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125</v>
      </c>
      <c r="AI6" s="30" t="s">
        <v>118</v>
      </c>
      <c r="AJ6" s="32" t="s">
        <v>128</v>
      </c>
      <c r="AK6" s="30" t="s">
        <v>116</v>
      </c>
      <c r="AL6" s="32" t="s">
        <v>126</v>
      </c>
      <c r="AM6" s="32" t="s">
        <v>125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85">
        <f>PEP노동및자본국산초기!B34</f>
        <v>6144.7776329999997</v>
      </c>
      <c r="AB7" s="85">
        <f>PEP노동및자본국산초기!C34</f>
        <v>116420.22792528239</v>
      </c>
      <c r="AC7" s="85">
        <f>PEP노동및자본국산초기!D34</f>
        <v>49068.346678000002</v>
      </c>
      <c r="AD7" s="85">
        <f>PEP노동및자본국산초기!E34</f>
        <v>276880.29519863438</v>
      </c>
      <c r="AE7" s="85">
        <f>PEP노동및자본국산초기!F34</f>
        <v>31305.571156424205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479819.21859134099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85">
        <f>PEP노동및자본국산초기!B35</f>
        <v>1286.0300594999999</v>
      </c>
      <c r="AB8" s="85">
        <f>PEP노동및자본국산초기!C35</f>
        <v>76328.493805317601</v>
      </c>
      <c r="AC8" s="85">
        <f>PEP노동및자본국산초기!D35</f>
        <v>50260.290322000001</v>
      </c>
      <c r="AD8" s="85">
        <f>PEP노동및자본국산초기!E35</f>
        <v>280222.91445656563</v>
      </c>
      <c r="AE8" s="85">
        <f>PEP노동및자본국산초기!F35</f>
        <v>25510.347457775802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433608.07610115904</v>
      </c>
      <c r="AT8" s="27"/>
    </row>
    <row r="9" spans="1:46" x14ac:dyDescent="0.3">
      <c r="A9" s="122"/>
      <c r="B9" s="123" t="s">
        <v>133</v>
      </c>
      <c r="C9" s="27" t="s">
        <v>96</v>
      </c>
      <c r="D9" s="69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85">
        <f>PEP노동및자본국산초기!B26</f>
        <v>25768.433999999997</v>
      </c>
      <c r="AB9" s="85">
        <f>PEP노동및자본국산초기!C26</f>
        <v>273674.4123729</v>
      </c>
      <c r="AC9" s="85">
        <f>PEP노동및자본국산초기!D26</f>
        <v>40129.675999999999</v>
      </c>
      <c r="AD9" s="85">
        <f>PEP노동및자본국산초기!E26</f>
        <v>440459.67163020006</v>
      </c>
      <c r="AE9" s="85">
        <f>PEP노동및자본국산초기!F26</f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128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85">
        <f>PEP노동및자본국산초기!B27</f>
        <v>0</v>
      </c>
      <c r="AB10" s="85">
        <f>PEP노동및자본국산초기!C27</f>
        <v>0</v>
      </c>
      <c r="AC10" s="85">
        <f>PEP노동및자본국산초기!D27</f>
        <v>0</v>
      </c>
      <c r="AD10" s="85">
        <f>PEP노동및자본국산초기!E27</f>
        <v>0</v>
      </c>
      <c r="AE10" s="85">
        <f>PEP노동및자본국산초기!F27</f>
        <v>46640.817996899998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46640.817996899998</v>
      </c>
      <c r="AT10" s="27"/>
    </row>
    <row r="11" spans="1:46" x14ac:dyDescent="0.3">
      <c r="A11" s="122"/>
      <c r="B11" s="123" t="s">
        <v>136</v>
      </c>
      <c r="C11" s="27" t="s">
        <v>97</v>
      </c>
      <c r="D11" s="69" t="s">
        <v>137</v>
      </c>
      <c r="E11" s="27" t="s">
        <v>106</v>
      </c>
      <c r="F11" s="35" t="s">
        <v>138</v>
      </c>
      <c r="G11" s="90">
        <f>PEP노동및자본국산초기!B52</f>
        <v>7240.452515017334</v>
      </c>
      <c r="H11" s="90">
        <f>PEP노동및자본국산초기!C52</f>
        <v>6543.1282522519641</v>
      </c>
      <c r="I11" s="90">
        <f>PEP노동및자본국산초기!D40</f>
        <v>6381.5509118734863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20165.131679142782</v>
      </c>
      <c r="AT11" s="27"/>
    </row>
    <row r="12" spans="1:46" x14ac:dyDescent="0.3">
      <c r="A12" s="122"/>
      <c r="B12" s="124"/>
      <c r="C12" s="27" t="s">
        <v>97</v>
      </c>
      <c r="D12" s="69" t="s">
        <v>172</v>
      </c>
      <c r="E12" s="27" t="s">
        <v>107</v>
      </c>
      <c r="F12" s="35" t="s">
        <v>140</v>
      </c>
      <c r="G12" s="90">
        <f>PEP노동및자본국산초기!B53</f>
        <v>34911.132930800355</v>
      </c>
      <c r="H12" s="90">
        <f>PEP노동및자본국산초기!C53</f>
        <v>31548.859649844257</v>
      </c>
      <c r="I12" s="90">
        <f>PEP노동및자본국산초기!D41</f>
        <v>23421.294184415252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89881.286765059864</v>
      </c>
      <c r="AT12" s="27"/>
    </row>
    <row r="13" spans="1:46" x14ac:dyDescent="0.3">
      <c r="A13" s="122"/>
      <c r="B13" s="124"/>
      <c r="C13" s="27" t="s">
        <v>97</v>
      </c>
      <c r="D13" s="69" t="s">
        <v>139</v>
      </c>
      <c r="E13" s="27" t="s">
        <v>108</v>
      </c>
      <c r="F13" s="35" t="s">
        <v>141</v>
      </c>
      <c r="G13" s="90">
        <f>PEP노동및자본국산초기!B54</f>
        <v>70834.916563001738</v>
      </c>
      <c r="H13" s="90">
        <f>PEP노동및자본국산초기!C54</f>
        <v>64012.842132171318</v>
      </c>
      <c r="I13" s="90">
        <f>PEP노동및자본국산초기!D42</f>
        <v>42900.059533222804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177747.81822839586</v>
      </c>
      <c r="AT13" s="27"/>
    </row>
    <row r="14" spans="1:46" x14ac:dyDescent="0.3">
      <c r="A14" s="122"/>
      <c r="B14" s="124"/>
      <c r="C14" s="27" t="s">
        <v>97</v>
      </c>
      <c r="D14" s="69" t="s">
        <v>142</v>
      </c>
      <c r="E14" s="27" t="s">
        <v>109</v>
      </c>
      <c r="F14" s="35" t="s">
        <v>143</v>
      </c>
      <c r="G14" s="90">
        <f>PEP노동및자본국산초기!B55</f>
        <v>121695.29804086829</v>
      </c>
      <c r="H14" s="90">
        <f>PEP노동및자본국산초기!C55</f>
        <v>109974.88639361957</v>
      </c>
      <c r="I14" s="90">
        <f>PEP노동및자본국산초기!D43</f>
        <v>61242.841997194235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292913.02643168211</v>
      </c>
      <c r="AT14" s="27"/>
    </row>
    <row r="15" spans="1:46" x14ac:dyDescent="0.3">
      <c r="A15" s="122"/>
      <c r="B15" s="124"/>
      <c r="C15" s="27" t="s">
        <v>97</v>
      </c>
      <c r="D15" s="69" t="s">
        <v>144</v>
      </c>
      <c r="E15" s="27"/>
      <c r="F15" s="35" t="s">
        <v>145</v>
      </c>
      <c r="G15" s="90">
        <f>PEP노동및자본국산초기!B56</f>
        <v>245137.41854165326</v>
      </c>
      <c r="H15" s="90">
        <f>PEP노동및자본국산초기!C56</f>
        <v>221528.35967327192</v>
      </c>
      <c r="I15" s="90">
        <f>PEP노동및자본국산초기!D44</f>
        <v>128031.95337329424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594697.73158821941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86">
        <f>미시사회행렬초기!X27</f>
        <v>518054.49400310015</v>
      </c>
      <c r="J16" s="86">
        <f>미시사회행렬초기!Y27</f>
        <v>46640.817996899998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564695.31200000015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86">
        <f>미시사회행렬초기!AA28</f>
        <v>138813.37551130017</v>
      </c>
      <c r="Q17" s="27">
        <v>0</v>
      </c>
      <c r="R17" s="86">
        <f>SUM(K18:O18)</f>
        <v>96377.730160772247</v>
      </c>
      <c r="S17" s="86">
        <f>미시사회행렬초기!AF28</f>
        <v>72174.278000000006</v>
      </c>
      <c r="T17" s="86">
        <f>SUM(AA20:AE20)</f>
        <v>328836.58748042776</v>
      </c>
      <c r="U17" s="86">
        <f>SUM(AF21:AJ21)</f>
        <v>23757.155999999999</v>
      </c>
      <c r="V17" s="57">
        <f>AS22</f>
        <v>0</v>
      </c>
      <c r="W17" s="57">
        <f>AS23</f>
        <v>0</v>
      </c>
      <c r="X17" s="57">
        <f>AS24</f>
        <v>0</v>
      </c>
      <c r="Y17" s="57">
        <f>AS25</f>
        <v>0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98">
        <v>0</v>
      </c>
      <c r="AG17" s="95">
        <v>1567.3444925369695</v>
      </c>
      <c r="AH17" s="95">
        <v>22.873224155453499</v>
      </c>
      <c r="AI17" s="98">
        <v>0</v>
      </c>
      <c r="AJ17" s="98">
        <v>0</v>
      </c>
      <c r="AK17" s="43">
        <v>0</v>
      </c>
      <c r="AL17" s="27">
        <v>0</v>
      </c>
      <c r="AM17" s="27"/>
      <c r="AN17" s="27">
        <v>0</v>
      </c>
      <c r="AO17" s="27"/>
      <c r="AP17" s="99">
        <v>0</v>
      </c>
      <c r="AQ17" s="96">
        <v>1540.435530900002</v>
      </c>
      <c r="AR17" s="27"/>
      <c r="AS17" s="48">
        <f t="shared" si="0"/>
        <v>663089.78040009271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90">
        <v>2556.7103920545633</v>
      </c>
      <c r="L18" s="90">
        <v>8992.1248444948433</v>
      </c>
      <c r="M18" s="90">
        <v>16147.181111256301</v>
      </c>
      <c r="N18" s="90">
        <v>22075.414590905479</v>
      </c>
      <c r="O18" s="90">
        <v>46606.299222061061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96377.730160772247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86">
        <f>미시사회행렬초기!AA32</f>
        <v>72174.278000000006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72174.278000000006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97">
        <v>0</v>
      </c>
      <c r="AB20" s="90">
        <v>138683.90546356305</v>
      </c>
      <c r="AC20" s="90">
        <v>71261.227775844513</v>
      </c>
      <c r="AD20" s="90">
        <v>111054.32088312786</v>
      </c>
      <c r="AE20" s="90">
        <v>7837.1333578923368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328836.58748042776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94">
        <f>PEP수출입국산초기!L12</f>
        <v>6612.9930000000004</v>
      </c>
      <c r="AG21" s="94">
        <f>PEP수출입국산초기!M12</f>
        <v>16859.252943799998</v>
      </c>
      <c r="AH21" s="94">
        <f>PEP수출입국산초기!N12</f>
        <v>0</v>
      </c>
      <c r="AI21" s="94">
        <f>PEP수출입국산초기!O12</f>
        <v>0.83767599999999998</v>
      </c>
      <c r="AJ21" s="94">
        <f>PEP수출입국산초기!P12</f>
        <v>284.0723802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/>
      <c r="AB22" s="46"/>
      <c r="AC22" s="46"/>
      <c r="AD22" s="46"/>
      <c r="AE22" s="46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0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/>
      <c r="AB23" s="46"/>
      <c r="AC23" s="46"/>
      <c r="AD23" s="46"/>
      <c r="AE23" s="46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0</v>
      </c>
      <c r="AT23" s="27"/>
    </row>
    <row r="24" spans="1:46" x14ac:dyDescent="0.3">
      <c r="A24" s="122"/>
      <c r="B24" s="124"/>
      <c r="C24" s="27" t="s">
        <v>97</v>
      </c>
      <c r="D24" s="69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/>
      <c r="AB24" s="46"/>
      <c r="AC24" s="46"/>
      <c r="AD24" s="46"/>
      <c r="AE24" s="38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0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/>
      <c r="AB25" s="38"/>
      <c r="AC25" s="38"/>
      <c r="AD25" s="38"/>
      <c r="AE25" s="46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0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94">
        <f>PEP수출입국산초기!L11</f>
        <v>152203.76699999999</v>
      </c>
      <c r="AG26" s="94">
        <f>PEP수출입국산초기!M11</f>
        <v>427720.12769220001</v>
      </c>
      <c r="AH26" s="94">
        <f>PEP수출입국산초기!N11</f>
        <v>212.63299999999998</v>
      </c>
      <c r="AI26" s="94">
        <f>PEP수출입국산초기!O11</f>
        <v>104905.26024839999</v>
      </c>
      <c r="AJ26" s="94">
        <f>PEP수출입국산초기!P11</f>
        <v>22779.546059400003</v>
      </c>
      <c r="AK26" s="27">
        <v>0</v>
      </c>
      <c r="AL26" s="27">
        <v>0</v>
      </c>
      <c r="AM26" s="27"/>
      <c r="AN26" s="27">
        <v>0</v>
      </c>
      <c r="AO26" s="27"/>
      <c r="AP26" s="86">
        <v>53771.672999999952</v>
      </c>
      <c r="AQ26" s="27"/>
      <c r="AR26" s="27"/>
      <c r="AS26" s="48">
        <f t="shared" si="0"/>
        <v>761603.00699999998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86">
        <f>PEP수출입국산초기!L40</f>
        <v>62840.173361680361</v>
      </c>
      <c r="AG27" s="27"/>
      <c r="AH27" s="27"/>
      <c r="AI27" s="27"/>
      <c r="AJ27" s="27"/>
      <c r="AK27" s="94">
        <f>PEP수출입국산초기!B31</f>
        <v>1193.876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86">
        <f>PEP수출입국산초기!M41</f>
        <v>866711.09740446298</v>
      </c>
      <c r="AH28" s="27"/>
      <c r="AI28" s="27"/>
      <c r="AJ28" s="27"/>
      <c r="AK28" s="27"/>
      <c r="AL28" s="94">
        <f>PEP수출입국산초기!C32</f>
        <v>621764.05098910001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86">
        <f>PEP수출입국산초기!N42</f>
        <v>394888.99377584457</v>
      </c>
      <c r="AI29" s="27"/>
      <c r="AJ29" s="27"/>
      <c r="AK29" s="27"/>
      <c r="AL29" s="27"/>
      <c r="AM29" s="94">
        <f>PEP수출입국산초기!D33</f>
        <v>1300.931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86">
        <f>PEP수출입국산초기!O43</f>
        <v>1744612.806284328</v>
      </c>
      <c r="AJ30" s="27"/>
      <c r="AK30" s="27">
        <v>0</v>
      </c>
      <c r="AL30" s="27">
        <v>0</v>
      </c>
      <c r="AM30" s="27"/>
      <c r="AN30" s="94">
        <f>PEP수출입국산초기!E34</f>
        <v>111816.2068226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68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86">
        <f>PEP수출입국산초기!P44</f>
        <v>166202.63501579236</v>
      </c>
      <c r="AK31" s="27"/>
      <c r="AL31" s="27"/>
      <c r="AM31" s="27"/>
      <c r="AN31" s="27"/>
      <c r="AO31" s="94">
        <f>PEP수출입국산초기!F35</f>
        <v>25527.9421883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91">
        <f>PEP상품및가계소비국산초기!B26</f>
        <v>270.30362042948349</v>
      </c>
      <c r="L32" s="91">
        <f>PEP상품및가계소비국산초기!C26</f>
        <v>1303.317106896006</v>
      </c>
      <c r="M32" s="91">
        <f>PEP상품및가계소비국산초기!D26</f>
        <v>2644.4389159499819</v>
      </c>
      <c r="N32" s="91">
        <f>PEP상품및가계소비국산초기!E26</f>
        <v>4543.1800818340116</v>
      </c>
      <c r="O32" s="91">
        <f>PEP상품및가계소비국산초기!F26</f>
        <v>9151.5732748905193</v>
      </c>
      <c r="P32" s="47">
        <f>Q32*X47/100</f>
        <v>0</v>
      </c>
      <c r="Q32" s="92">
        <f>PEP상품및가계소비국산초기!I26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85">
        <f>PEP산업국산초기!B31</f>
        <v>4081.9709999999995</v>
      </c>
      <c r="AB32" s="85">
        <f>PEP산업국산초기!C31</f>
        <v>35522.330121899999</v>
      </c>
      <c r="AC32" s="85">
        <f>PEP산업국산초기!D31</f>
        <v>1055.6590000000001</v>
      </c>
      <c r="AD32" s="85">
        <f>PEP산업국산초기!E31</f>
        <v>10844.1333118</v>
      </c>
      <c r="AE32" s="85">
        <f>PEP산업국산초기!F31</f>
        <v>175.87156630000001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86">
        <f>PEP노동및자본국산초기!B28-AR32</f>
        <v>457.05799999999999</v>
      </c>
      <c r="AQ32" s="27"/>
      <c r="AR32" s="85">
        <f>PEP노동및자본국산초기!B29</f>
        <v>1917.1179999999999</v>
      </c>
      <c r="AS32" s="48">
        <f t="shared" si="0"/>
        <v>71966.954000000012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126</v>
      </c>
      <c r="G33" s="27">
        <v>0</v>
      </c>
      <c r="H33" s="27"/>
      <c r="I33" s="27">
        <v>0</v>
      </c>
      <c r="J33" s="27">
        <v>0</v>
      </c>
      <c r="K33" s="91">
        <f>PEP상품및가계소비국산초기!B27</f>
        <v>3225.8931406120719</v>
      </c>
      <c r="L33" s="91">
        <f>PEP상품및가계소비국산초기!C27</f>
        <v>15554.219024140022</v>
      </c>
      <c r="M33" s="91">
        <f>PEP상품및가계소비국산초기!D27</f>
        <v>31559.611914099914</v>
      </c>
      <c r="N33" s="91">
        <f>PEP상품및가계소비국산초기!E27</f>
        <v>54219.819324902914</v>
      </c>
      <c r="O33" s="91">
        <f>PEP상품및가계소비국산초기!F27</f>
        <v>109217.91356834507</v>
      </c>
      <c r="P33" s="47">
        <f>Q33*X47/100</f>
        <v>0</v>
      </c>
      <c r="Q33" s="92">
        <f>PEP상품및가계소비국산초기!I27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85">
        <f>PEP산업국산초기!B32</f>
        <v>17314.901140899998</v>
      </c>
      <c r="AB33" s="85">
        <f>PEP산업국산초기!C32</f>
        <v>585018.29295630183</v>
      </c>
      <c r="AC33" s="85">
        <f>PEP산업국산초기!D32</f>
        <v>106719.7556533</v>
      </c>
      <c r="AD33" s="85">
        <f>PEP산업국산초기!E32</f>
        <v>208524.20620411215</v>
      </c>
      <c r="AE33" s="85">
        <f>PEP산업국산초기!F32</f>
        <v>18287.249604586013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86">
        <f>PEP노동및자본국산초기!C28-AR33</f>
        <v>145047.8633458</v>
      </c>
      <c r="AQ33" s="27"/>
      <c r="AR33" s="85">
        <f>PEP노동및자본국산초기!C29</f>
        <v>18168.096655900001</v>
      </c>
      <c r="AS33" s="48">
        <f t="shared" si="0"/>
        <v>1312857.822533</v>
      </c>
      <c r="AT33" s="27"/>
    </row>
    <row r="34" spans="1:46" x14ac:dyDescent="0.3">
      <c r="A34" s="122"/>
      <c r="B34" s="124"/>
      <c r="C34" s="27" t="s">
        <v>99</v>
      </c>
      <c r="D34" s="69" t="s">
        <v>160</v>
      </c>
      <c r="E34" s="29" t="s">
        <v>121</v>
      </c>
      <c r="F34" s="35" t="s">
        <v>125</v>
      </c>
      <c r="G34" s="27"/>
      <c r="H34" s="27"/>
      <c r="I34" s="27"/>
      <c r="J34" s="27"/>
      <c r="K34" s="91">
        <f>PEP상품및가계소비국산초기!B28</f>
        <v>341.35531282646548</v>
      </c>
      <c r="L34" s="91">
        <f>PEP상품및가계소비국산초기!C28</f>
        <v>1645.9055118450904</v>
      </c>
      <c r="M34" s="91">
        <f>PEP상품및가계소비국산초기!D28</f>
        <v>3339.5530254840919</v>
      </c>
      <c r="N34" s="91">
        <f>PEP상품및가계소비국산초기!E28</f>
        <v>5737.395065583285</v>
      </c>
      <c r="O34" s="91">
        <f>PEP상품및가계소비국산초기!F28</f>
        <v>11557.145084261065</v>
      </c>
      <c r="P34" s="47">
        <f>Q34*X47/100</f>
        <v>0</v>
      </c>
      <c r="Q34" s="92">
        <f>PEP상품및가계소비국산초기!I28</f>
        <v>1009.391</v>
      </c>
      <c r="R34" s="27"/>
      <c r="S34" s="27"/>
      <c r="T34" s="27"/>
      <c r="U34" s="27"/>
      <c r="V34" s="27"/>
      <c r="W34" s="27"/>
      <c r="X34" s="27"/>
      <c r="Y34" s="27"/>
      <c r="Z34" s="27"/>
      <c r="AA34" s="85">
        <f>PEP산업국산초기!B33</f>
        <v>1122.4090000000001</v>
      </c>
      <c r="AB34" s="85">
        <f>PEP산업국산초기!C33</f>
        <v>39197.677210200003</v>
      </c>
      <c r="AC34" s="85">
        <f>PEP산업국산초기!D33</f>
        <v>17862.173999999999</v>
      </c>
      <c r="AD34" s="85">
        <f>PEP산업국산초기!E33</f>
        <v>50072.794377199993</v>
      </c>
      <c r="AE34" s="85">
        <f>PEP산업국산초기!F33</f>
        <v>2691.9824126000003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86">
        <f>PEP노동및자본국산초기!D28-AR34</f>
        <v>260082.682</v>
      </c>
      <c r="AQ34" s="27"/>
      <c r="AR34" s="85">
        <f>PEP노동및자본국산초기!D29</f>
        <v>464.036</v>
      </c>
      <c r="AS34" s="48">
        <f t="shared" si="0"/>
        <v>395124.5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91">
        <f>PEP상품및가계소비국산초기!B29</f>
        <v>9710.3693051705177</v>
      </c>
      <c r="L35" s="91">
        <f>PEP상품및가계소비국산초기!C29</f>
        <v>46820.277174231269</v>
      </c>
      <c r="M35" s="91">
        <f>PEP상품및가계소비국산초기!D29</f>
        <v>94998.647957577297</v>
      </c>
      <c r="N35" s="91">
        <f>PEP상품및가계소비국산초기!E29</f>
        <v>163208.89947536602</v>
      </c>
      <c r="O35" s="91">
        <f>PEP상품및가계소비국산초기!F29</f>
        <v>328760.51042645494</v>
      </c>
      <c r="P35" s="47">
        <f>Q35*X47/100</f>
        <v>0</v>
      </c>
      <c r="Q35" s="92">
        <f>PEP상품및가계소비국산초기!I29</f>
        <v>327653.78899999999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85">
        <f>PEP산업국산초기!B34</f>
        <v>7449.9100844000004</v>
      </c>
      <c r="AB35" s="85">
        <f>PEP산업국산초기!C34</f>
        <v>186170.38988631585</v>
      </c>
      <c r="AC35" s="85">
        <f>PEP산업국산초기!D34</f>
        <v>46447.725277800004</v>
      </c>
      <c r="AD35" s="85">
        <f>PEP산업국산초기!E34</f>
        <v>430701.30968346947</v>
      </c>
      <c r="AE35" s="85">
        <f>PEP산업국산초기!F34</f>
        <v>51843.89615441463</v>
      </c>
      <c r="AF35" s="43">
        <v>0</v>
      </c>
      <c r="AG35" s="27">
        <v>0</v>
      </c>
      <c r="AH35" s="27"/>
      <c r="AI35" s="27">
        <v>0</v>
      </c>
      <c r="AJ35" s="27">
        <v>0</v>
      </c>
      <c r="AK35" s="43">
        <v>0</v>
      </c>
      <c r="AL35" s="43"/>
      <c r="AM35" s="43">
        <v>0</v>
      </c>
      <c r="AN35" s="27"/>
      <c r="AO35" s="27"/>
      <c r="AP35" s="86">
        <f>PEP노동및자본국산초기!E28-AR35</f>
        <v>137903.30167380002</v>
      </c>
      <c r="AQ35" s="27"/>
      <c r="AR35" s="85">
        <f>PEP노동및자본국산초기!E29</f>
        <v>1904.0308132</v>
      </c>
      <c r="AS35" s="48">
        <f t="shared" si="0"/>
        <v>1833573.0569122001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91">
        <f>PEP상품및가계소비국산초기!B30</f>
        <v>575.28132206419036</v>
      </c>
      <c r="L36" s="91">
        <f>PEP상품및가계소비국산초기!C30</f>
        <v>2773.8214794633509</v>
      </c>
      <c r="M36" s="91">
        <f>PEP상품및가계소비국산초기!D30</f>
        <v>5628.1018850895261</v>
      </c>
      <c r="N36" s="91">
        <f>PEP상품및가계소비국산초기!E30</f>
        <v>9669.1514516173556</v>
      </c>
      <c r="O36" s="91">
        <f>PEP상품및가계소비국산초기!F30</f>
        <v>19477.094550865575</v>
      </c>
      <c r="P36" s="47">
        <f>Q36*X47/100</f>
        <v>0</v>
      </c>
      <c r="Q36" s="92">
        <f>PEP상품및가계소비국산초기!I30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85">
        <f>PEP산업국산초기!B35</f>
        <v>1054.0017747000002</v>
      </c>
      <c r="AB36" s="85">
        <f>PEP산업국산초기!C35</f>
        <v>37459.418651782304</v>
      </c>
      <c r="AC36" s="85">
        <f>PEP산업국산초기!D35</f>
        <v>13385.070068899999</v>
      </c>
      <c r="AD36" s="85">
        <f>PEP산업국산초기!E35</f>
        <v>47669.367361818317</v>
      </c>
      <c r="AE36" s="85">
        <f>PEP산업국산초기!F35</f>
        <v>7437.7074971993707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86">
        <f>PEP노동및자본국산초기!F28</f>
        <v>0</v>
      </c>
      <c r="AQ36" s="86">
        <f>미시사회행렬초기!AD37-AR36</f>
        <v>38634.8059804</v>
      </c>
      <c r="AR36" s="85">
        <f>PEP노동및자본국산초기!F29</f>
        <v>1540.4355308999998</v>
      </c>
      <c r="AS36" s="48">
        <f t="shared" si="0"/>
        <v>185304.25755479996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86">
        <f>PEP수출입국산초기!B31</f>
        <v>1193.876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1193.876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126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86">
        <f>PEP수출입국산초기!C32</f>
        <v>621764.05098910001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621764.05098910001</v>
      </c>
      <c r="AT38" s="27"/>
    </row>
    <row r="39" spans="1:46" x14ac:dyDescent="0.3">
      <c r="A39" s="122"/>
      <c r="B39" s="124"/>
      <c r="C39" s="27" t="s">
        <v>100</v>
      </c>
      <c r="D39" s="69" t="s">
        <v>160</v>
      </c>
      <c r="E39" s="29" t="s">
        <v>121</v>
      </c>
      <c r="F39" s="35" t="s">
        <v>125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86">
        <f>PEP수출입국산초기!D33</f>
        <v>1300.931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1300.931</v>
      </c>
      <c r="AT39" s="27"/>
    </row>
    <row r="40" spans="1:46" x14ac:dyDescent="0.3">
      <c r="A40" s="122"/>
      <c r="B40" s="124"/>
      <c r="C40" s="27" t="s">
        <v>100</v>
      </c>
      <c r="D40" s="33" t="s">
        <v>161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86">
        <f>PEP수출입국산초기!E34</f>
        <v>111816.2068226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111816.2068226</v>
      </c>
      <c r="AT40" s="27"/>
    </row>
    <row r="41" spans="1:46" x14ac:dyDescent="0.3">
      <c r="A41" s="122"/>
      <c r="B41" s="68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86">
        <f>PEP수출입국산초기!F35</f>
        <v>25527.9421883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25527.9421883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85">
        <f>PEP노동및자본국산!B47</f>
        <v>3484.9389585885074</v>
      </c>
      <c r="L42" s="85">
        <f>PEP노동및자본국산!C47</f>
        <v>12790.27335063112</v>
      </c>
      <c r="M42" s="85">
        <f>PEP노동및자본국산!D47</f>
        <v>23427.547763495517</v>
      </c>
      <c r="N42" s="85">
        <f>PEP노동및자본국산!E47</f>
        <v>33444.46655022374</v>
      </c>
      <c r="O42" s="85">
        <f>PEP노동및자본국산!F47</f>
        <v>69917.7282162888</v>
      </c>
      <c r="P42" s="86">
        <f>미시사회행렬초기!AA29</f>
        <v>320695.66253886477</v>
      </c>
      <c r="Q42" s="86">
        <f>미시사회행렬초기!AB29</f>
        <v>126471.5544385352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590232.17181662761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86">
        <f>미시사회행렬초기!AA30</f>
        <v>33011.995949835211</v>
      </c>
      <c r="Q43" s="86">
        <f>미시사회행렬초기!AB30</f>
        <v>7163.2455614647897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40175.241511300002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85">
        <f>AR45</f>
        <v>23993.716999999997</v>
      </c>
      <c r="AQ44" s="27"/>
      <c r="AR44" s="27"/>
      <c r="AS44" s="48">
        <f t="shared" si="0"/>
        <v>23993.716999999997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1">SUM(G7:G44)</f>
        <v>479819.21859134099</v>
      </c>
      <c r="H45" s="48">
        <f t="shared" si="1"/>
        <v>433608.07610115898</v>
      </c>
      <c r="I45" s="48">
        <f t="shared" si="1"/>
        <v>780032.19400310016</v>
      </c>
      <c r="J45" s="48">
        <f t="shared" si="1"/>
        <v>46640.817996899998</v>
      </c>
      <c r="K45" s="48">
        <f t="shared" si="1"/>
        <v>20164.852051745802</v>
      </c>
      <c r="L45" s="48">
        <f t="shared" si="1"/>
        <v>89879.938491701701</v>
      </c>
      <c r="M45" s="48">
        <f t="shared" si="1"/>
        <v>177745.08257295261</v>
      </c>
      <c r="N45" s="48">
        <f t="shared" si="1"/>
        <v>292908.32654043281</v>
      </c>
      <c r="O45" s="48">
        <f t="shared" si="1"/>
        <v>594688.26434316707</v>
      </c>
      <c r="P45" s="48">
        <f t="shared" si="1"/>
        <v>564695.31200000003</v>
      </c>
      <c r="Q45" s="48">
        <f t="shared" si="1"/>
        <v>462297.98</v>
      </c>
      <c r="R45" s="48">
        <f t="shared" si="1"/>
        <v>96377.730160772247</v>
      </c>
      <c r="S45" s="48">
        <f t="shared" si="1"/>
        <v>72174.278000000006</v>
      </c>
      <c r="T45" s="48">
        <f t="shared" si="1"/>
        <v>328836.58748042776</v>
      </c>
      <c r="U45" s="48">
        <f t="shared" si="1"/>
        <v>23757.155999999999</v>
      </c>
      <c r="V45" s="48">
        <f t="shared" si="1"/>
        <v>0</v>
      </c>
      <c r="W45" s="48">
        <f t="shared" si="1"/>
        <v>0</v>
      </c>
      <c r="X45" s="48">
        <f t="shared" si="1"/>
        <v>0</v>
      </c>
      <c r="Y45" s="48">
        <f t="shared" si="1"/>
        <v>0</v>
      </c>
      <c r="Z45" s="48">
        <f t="shared" si="1"/>
        <v>761603.00699999998</v>
      </c>
      <c r="AA45" s="48">
        <f t="shared" si="1"/>
        <v>64222.434692499999</v>
      </c>
      <c r="AB45" s="48">
        <f t="shared" si="1"/>
        <v>1488475.1483935632</v>
      </c>
      <c r="AC45" s="48">
        <f t="shared" si="1"/>
        <v>396189.92477584456</v>
      </c>
      <c r="AD45" s="48">
        <f t="shared" si="1"/>
        <v>1856429.013106928</v>
      </c>
      <c r="AE45" s="48">
        <f t="shared" si="1"/>
        <v>191730.57720409235</v>
      </c>
      <c r="AF45" s="48">
        <f t="shared" si="1"/>
        <v>221656.93336168033</v>
      </c>
      <c r="AG45" s="48">
        <f t="shared" si="1"/>
        <v>1312857.822533</v>
      </c>
      <c r="AH45" s="48">
        <f t="shared" si="1"/>
        <v>395124.5</v>
      </c>
      <c r="AI45" s="48">
        <f t="shared" si="1"/>
        <v>1849518.9042087279</v>
      </c>
      <c r="AJ45" s="48">
        <f t="shared" si="1"/>
        <v>189266.25345539238</v>
      </c>
      <c r="AK45" s="48">
        <f t="shared" si="1"/>
        <v>1193.876</v>
      </c>
      <c r="AL45" s="48">
        <f t="shared" si="1"/>
        <v>621764.05098910001</v>
      </c>
      <c r="AM45" s="48">
        <f t="shared" si="1"/>
        <v>1300.931</v>
      </c>
      <c r="AN45" s="48">
        <f t="shared" si="1"/>
        <v>111816.2068226</v>
      </c>
      <c r="AO45" s="48">
        <f t="shared" si="1"/>
        <v>25527.9421883</v>
      </c>
      <c r="AP45" s="48">
        <f t="shared" si="1"/>
        <v>621256.29501959984</v>
      </c>
      <c r="AQ45" s="48">
        <f t="shared" si="1"/>
        <v>40175.241511300002</v>
      </c>
      <c r="AR45" s="48">
        <f t="shared" si="1"/>
        <v>23993.716999999997</v>
      </c>
      <c r="AS45" s="48"/>
      <c r="AT45" s="27"/>
    </row>
    <row r="46" spans="1:46" x14ac:dyDescent="0.3">
      <c r="G46" s="11">
        <f t="array" ref="G46:AR46">TRANSPOSE(AS7:AS44)</f>
        <v>479819.21859134099</v>
      </c>
      <c r="H46" s="11">
        <v>433608.07610115904</v>
      </c>
      <c r="I46" s="11">
        <v>780032.19400310004</v>
      </c>
      <c r="J46" s="11">
        <v>46640.817996899998</v>
      </c>
      <c r="K46" s="11">
        <v>20165.131679142782</v>
      </c>
      <c r="L46" s="11">
        <v>89881.286765059864</v>
      </c>
      <c r="M46" s="11">
        <v>177747.81822839586</v>
      </c>
      <c r="N46" s="11">
        <v>292913.02643168211</v>
      </c>
      <c r="O46" s="11">
        <v>594697.73158821941</v>
      </c>
      <c r="P46" s="11">
        <v>564695.31200000015</v>
      </c>
      <c r="Q46" s="11">
        <v>663089.78040009271</v>
      </c>
      <c r="R46" s="11">
        <v>96377.730160772247</v>
      </c>
      <c r="S46" s="11">
        <v>72174.278000000006</v>
      </c>
      <c r="T46" s="11">
        <v>328836.58748042776</v>
      </c>
      <c r="U46" s="11">
        <v>23757.155999999999</v>
      </c>
      <c r="V46" s="11">
        <v>0</v>
      </c>
      <c r="W46" s="11">
        <v>0</v>
      </c>
      <c r="X46" s="11">
        <v>0</v>
      </c>
      <c r="Y46" s="11">
        <v>0</v>
      </c>
      <c r="Z46" s="11">
        <v>761603.00699999998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71966.954000000012</v>
      </c>
      <c r="AG46" s="11">
        <v>1312857.822533</v>
      </c>
      <c r="AH46" s="11">
        <v>395124.5</v>
      </c>
      <c r="AI46" s="11">
        <v>1833573.0569122001</v>
      </c>
      <c r="AJ46" s="11">
        <v>185304.25755479996</v>
      </c>
      <c r="AK46" s="11">
        <v>1193.876</v>
      </c>
      <c r="AL46" s="11">
        <v>621764.05098910001</v>
      </c>
      <c r="AM46" s="11">
        <v>1300.931</v>
      </c>
      <c r="AN46" s="11">
        <v>111816.2068226</v>
      </c>
      <c r="AO46" s="11">
        <v>25527.9421883</v>
      </c>
      <c r="AP46" s="11">
        <v>590232.17181662761</v>
      </c>
      <c r="AQ46" s="11">
        <v>40175.241511300002</v>
      </c>
      <c r="AR46" s="11">
        <v>23993.716999999997</v>
      </c>
    </row>
    <row r="48" spans="1:46" x14ac:dyDescent="0.3">
      <c r="Z48" s="14"/>
      <c r="AP48" s="14"/>
    </row>
    <row r="49" spans="11:43" x14ac:dyDescent="0.3">
      <c r="AP49" s="14"/>
      <c r="AQ49" s="14"/>
    </row>
    <row r="50" spans="11:43" x14ac:dyDescent="0.3">
      <c r="K50" s="14"/>
      <c r="L50" s="14"/>
      <c r="M50" s="14"/>
      <c r="N50" s="14"/>
      <c r="O50" s="14"/>
      <c r="AA50" s="14"/>
      <c r="AB50" s="14"/>
      <c r="AC50" s="14"/>
      <c r="AD50" s="14"/>
      <c r="AE50" s="14"/>
      <c r="AF50" s="14">
        <f>AF46-AF45</f>
        <v>-149689.97936168034</v>
      </c>
      <c r="AG50" s="14">
        <f t="shared" ref="AG50:AJ50" si="2">AG46-AG45</f>
        <v>0</v>
      </c>
      <c r="AH50" s="14">
        <f t="shared" si="2"/>
        <v>0</v>
      </c>
      <c r="AI50" s="14">
        <f t="shared" si="2"/>
        <v>-15945.84729652782</v>
      </c>
      <c r="AJ50" s="14">
        <f t="shared" si="2"/>
        <v>-3961.9959005924175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zoomScale="55" zoomScaleNormal="55" workbookViewId="0">
      <selection activeCell="N43" sqref="N43"/>
    </sheetView>
  </sheetViews>
  <sheetFormatPr defaultRowHeight="17.25" x14ac:dyDescent="0.3"/>
  <cols>
    <col min="1" max="2" width="9" bestFit="1" customWidth="1"/>
    <col min="3" max="3" width="11.109375" bestFit="1" customWidth="1"/>
    <col min="4" max="4" width="10.77734375" bestFit="1" customWidth="1"/>
    <col min="5" max="24" width="9" bestFit="1" customWidth="1"/>
    <col min="25" max="25" width="11.109375" bestFit="1" customWidth="1"/>
    <col min="26" max="26" width="10.77734375" bestFit="1" customWidth="1"/>
    <col min="27" max="28" width="9" bestFit="1" customWidth="1"/>
    <col min="29" max="29" width="17.6640625" customWidth="1"/>
    <col min="30" max="35" width="9" bestFit="1" customWidth="1"/>
    <col min="36" max="36" width="10" bestFit="1" customWidth="1"/>
    <col min="37" max="37" width="10.77734375" bestFit="1" customWidth="1"/>
  </cols>
  <sheetData>
    <row r="1" spans="1:37" x14ac:dyDescent="0.3">
      <c r="A1" s="67"/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218</v>
      </c>
      <c r="X1" s="1" t="s">
        <v>4</v>
      </c>
      <c r="Y1" s="1" t="s">
        <v>219</v>
      </c>
      <c r="Z1" s="1" t="s">
        <v>6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12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66"/>
    </row>
    <row r="2" spans="1:37" x14ac:dyDescent="0.3">
      <c r="A2" s="1" t="s">
        <v>19</v>
      </c>
      <c r="B2" s="4">
        <v>4074.9209999999998</v>
      </c>
      <c r="C2" s="4">
        <v>4.3099999999999996</v>
      </c>
      <c r="D2" s="4">
        <v>31918.581121899999</v>
      </c>
      <c r="E2" s="4">
        <v>47.099710000000002</v>
      </c>
      <c r="F2" s="4">
        <v>10.343</v>
      </c>
      <c r="G2" s="4">
        <v>331.601</v>
      </c>
      <c r="H2" s="4">
        <v>21.111999999999998</v>
      </c>
      <c r="I2" s="4">
        <v>8770.2880000000005</v>
      </c>
      <c r="J2" s="4">
        <v>19.204805</v>
      </c>
      <c r="K2" s="4">
        <v>36.036000000000001</v>
      </c>
      <c r="L2" s="4">
        <v>8.7260000000000009</v>
      </c>
      <c r="M2" s="4">
        <v>278.2914356</v>
      </c>
      <c r="N2" s="4">
        <v>275.358</v>
      </c>
      <c r="O2" s="4">
        <v>85.817999999999998</v>
      </c>
      <c r="P2" s="4">
        <v>1072.614</v>
      </c>
      <c r="Q2" s="4">
        <v>199.88271040000001</v>
      </c>
      <c r="R2" s="4">
        <v>2.0258780999999999</v>
      </c>
      <c r="S2" s="4">
        <v>28.990290000000002</v>
      </c>
      <c r="T2" s="4">
        <v>3.135195</v>
      </c>
      <c r="U2" s="4">
        <v>135.94956440000001</v>
      </c>
      <c r="V2" s="4">
        <v>5.1982895999999998</v>
      </c>
      <c r="W2" s="4"/>
      <c r="X2" s="4"/>
      <c r="Y2" s="4"/>
      <c r="Z2" s="4">
        <v>17897.539000000001</v>
      </c>
      <c r="AA2" s="4"/>
      <c r="AB2" s="4">
        <v>0</v>
      </c>
      <c r="AC2" s="4">
        <v>384.49400000000003</v>
      </c>
      <c r="AD2" s="4"/>
      <c r="AE2" s="4"/>
      <c r="AF2" s="4"/>
      <c r="AG2" s="4"/>
      <c r="AH2" s="4"/>
      <c r="AI2" s="4">
        <v>1080.9490000000001</v>
      </c>
      <c r="AJ2" s="4"/>
      <c r="AK2" s="4">
        <f>SUM(B2:AJ2)</f>
        <v>66692.468000000008</v>
      </c>
    </row>
    <row r="3" spans="1:37" x14ac:dyDescent="0.3">
      <c r="A3" s="1" t="s">
        <v>20</v>
      </c>
      <c r="B3" s="4">
        <v>0.56000000000000005</v>
      </c>
      <c r="C3" s="4">
        <v>2.1800000000000002</v>
      </c>
      <c r="D3" s="4">
        <v>3603.7489999999998</v>
      </c>
      <c r="E3" s="4">
        <v>0</v>
      </c>
      <c r="F3" s="4">
        <v>505.74400000000003</v>
      </c>
      <c r="G3" s="4">
        <v>207.971</v>
      </c>
      <c r="H3" s="4">
        <v>0</v>
      </c>
      <c r="I3" s="4">
        <v>2.1059999999999999</v>
      </c>
      <c r="J3" s="4">
        <v>0</v>
      </c>
      <c r="K3" s="4">
        <v>0</v>
      </c>
      <c r="L3" s="4">
        <v>0.127</v>
      </c>
      <c r="M3" s="4">
        <v>11.3386508</v>
      </c>
      <c r="N3" s="4">
        <v>5.3140000000000001</v>
      </c>
      <c r="O3" s="4">
        <v>9.6000000000000002E-2</v>
      </c>
      <c r="P3" s="4">
        <v>8.6430000000000007</v>
      </c>
      <c r="Q3" s="4">
        <v>2.0779999999999998</v>
      </c>
      <c r="R3" s="4">
        <v>0</v>
      </c>
      <c r="S3" s="4">
        <v>0</v>
      </c>
      <c r="T3" s="4">
        <v>0</v>
      </c>
      <c r="U3" s="4">
        <v>0.5723492</v>
      </c>
      <c r="V3" s="4">
        <v>0</v>
      </c>
      <c r="W3" s="4"/>
      <c r="X3" s="4"/>
      <c r="Y3" s="4"/>
      <c r="Z3" s="4">
        <v>15.273999999999999</v>
      </c>
      <c r="AA3" s="4"/>
      <c r="AB3" s="4">
        <v>0</v>
      </c>
      <c r="AC3" s="4">
        <v>1989.682</v>
      </c>
      <c r="AD3" s="4"/>
      <c r="AE3" s="4"/>
      <c r="AF3" s="4"/>
      <c r="AG3" s="4"/>
      <c r="AH3" s="4"/>
      <c r="AI3" s="4">
        <v>112.92700000000001</v>
      </c>
      <c r="AJ3" s="4"/>
      <c r="AK3" s="4">
        <f t="shared" ref="AK3:AK36" si="0">SUM(B3:AJ3)</f>
        <v>6468.3620000000001</v>
      </c>
    </row>
    <row r="4" spans="1:37" x14ac:dyDescent="0.3">
      <c r="A4" s="1" t="s">
        <v>21</v>
      </c>
      <c r="B4" s="4">
        <v>16665.222090499999</v>
      </c>
      <c r="C4" s="4">
        <v>649.67905039999994</v>
      </c>
      <c r="D4" s="4">
        <v>585018.29295630183</v>
      </c>
      <c r="E4" s="4">
        <v>11139.5151555423</v>
      </c>
      <c r="F4" s="4">
        <v>12077.2145552</v>
      </c>
      <c r="G4" s="4">
        <v>94642.541098100002</v>
      </c>
      <c r="H4" s="4">
        <v>33107.9062701</v>
      </c>
      <c r="I4" s="4">
        <v>50880.877613500001</v>
      </c>
      <c r="J4" s="4">
        <v>5520.2415999772202</v>
      </c>
      <c r="K4" s="4">
        <v>3863.8709076999999</v>
      </c>
      <c r="L4" s="4">
        <v>3685.2620125000003</v>
      </c>
      <c r="M4" s="4">
        <v>30529.81978020152</v>
      </c>
      <c r="N4" s="4">
        <v>8591.0899657000009</v>
      </c>
      <c r="O4" s="4">
        <v>7197.7209143999999</v>
      </c>
      <c r="P4" s="4">
        <v>31439.031238299998</v>
      </c>
      <c r="Q4" s="4">
        <v>22568.870746191122</v>
      </c>
      <c r="R4" s="4">
        <v>7545.5986028981697</v>
      </c>
      <c r="S4" s="4">
        <v>6856.4705561577002</v>
      </c>
      <c r="T4" s="4">
        <v>1372.5210689227799</v>
      </c>
      <c r="U4" s="4">
        <v>2221.6868611984796</v>
      </c>
      <c r="V4" s="4">
        <v>290.97251540888004</v>
      </c>
      <c r="W4" s="4"/>
      <c r="X4" s="4"/>
      <c r="Y4" s="4"/>
      <c r="Z4" s="4">
        <v>213777.45697209999</v>
      </c>
      <c r="AA4" s="4"/>
      <c r="AB4" s="4">
        <v>0</v>
      </c>
      <c r="AC4" s="4">
        <v>163215.9600017</v>
      </c>
      <c r="AD4" s="4"/>
      <c r="AE4" s="4"/>
      <c r="AF4" s="4"/>
      <c r="AG4" s="4"/>
      <c r="AH4" s="4"/>
      <c r="AI4" s="4">
        <v>621764.05098910001</v>
      </c>
      <c r="AJ4" s="4"/>
      <c r="AK4" s="4">
        <f t="shared" si="0"/>
        <v>1934621.8735221003</v>
      </c>
    </row>
    <row r="5" spans="1:37" x14ac:dyDescent="0.3">
      <c r="A5" s="1" t="s">
        <v>22</v>
      </c>
      <c r="B5" s="4">
        <v>1430.1753589999998</v>
      </c>
      <c r="C5" s="4">
        <v>34.859603999999997</v>
      </c>
      <c r="D5" s="4">
        <v>41026.718442800993</v>
      </c>
      <c r="E5" s="4">
        <v>4383.3139448749998</v>
      </c>
      <c r="F5" s="4">
        <v>706.03697099999999</v>
      </c>
      <c r="G5" s="4">
        <v>5095.3529719999997</v>
      </c>
      <c r="H5" s="4">
        <v>1760.382147</v>
      </c>
      <c r="I5" s="4">
        <v>8434.5410439999996</v>
      </c>
      <c r="J5" s="4">
        <v>5032.5278710528009</v>
      </c>
      <c r="K5" s="4">
        <v>585.25150099999996</v>
      </c>
      <c r="L5" s="4">
        <v>381.41665799999998</v>
      </c>
      <c r="M5" s="4">
        <v>3212.5403161988002</v>
      </c>
      <c r="N5" s="4">
        <v>1027.8655940000001</v>
      </c>
      <c r="O5" s="4">
        <v>1199.9612120000002</v>
      </c>
      <c r="P5" s="4">
        <v>7076.7905420000006</v>
      </c>
      <c r="Q5" s="4">
        <v>3075.0940004151998</v>
      </c>
      <c r="R5" s="4">
        <v>644.48226219899993</v>
      </c>
      <c r="S5" s="4">
        <v>2697.968680125</v>
      </c>
      <c r="T5" s="4">
        <v>293.95227294720013</v>
      </c>
      <c r="U5" s="4">
        <v>275.85522980119998</v>
      </c>
      <c r="V5" s="4">
        <v>45.5753105848</v>
      </c>
      <c r="W5" s="4"/>
      <c r="X5" s="4"/>
      <c r="Y5" s="4"/>
      <c r="Z5" s="4">
        <v>56432.395283999998</v>
      </c>
      <c r="AA5" s="4"/>
      <c r="AB5" s="4">
        <v>0</v>
      </c>
      <c r="AC5" s="4">
        <v>9516.1853579999988</v>
      </c>
      <c r="AD5" s="4"/>
      <c r="AE5" s="4"/>
      <c r="AF5" s="4"/>
      <c r="AG5" s="4"/>
      <c r="AH5" s="4"/>
      <c r="AI5" s="4">
        <v>22379.124206</v>
      </c>
      <c r="AJ5" s="4"/>
      <c r="AK5" s="4">
        <f t="shared" si="0"/>
        <v>176748.366783</v>
      </c>
    </row>
    <row r="6" spans="1:37" x14ac:dyDescent="0.3">
      <c r="A6" s="1" t="s">
        <v>23</v>
      </c>
      <c r="B6" s="4">
        <v>915.37900000000002</v>
      </c>
      <c r="C6" s="4">
        <v>108.589</v>
      </c>
      <c r="D6" s="4">
        <v>37989.514268600004</v>
      </c>
      <c r="E6" s="4">
        <v>2401.2916519999999</v>
      </c>
      <c r="F6" s="4">
        <v>16182.189</v>
      </c>
      <c r="G6" s="4">
        <v>1052.788</v>
      </c>
      <c r="H6" s="4">
        <v>2613.645</v>
      </c>
      <c r="I6" s="4">
        <v>5156.1679999999997</v>
      </c>
      <c r="J6" s="4">
        <v>1262.403337</v>
      </c>
      <c r="K6" s="4">
        <v>1434.3340000000001</v>
      </c>
      <c r="L6" s="4">
        <v>3101.92</v>
      </c>
      <c r="M6" s="4">
        <v>8317.4379411999998</v>
      </c>
      <c r="N6" s="4">
        <v>1758.8409999999999</v>
      </c>
      <c r="O6" s="4">
        <v>3970.3409999999999</v>
      </c>
      <c r="P6" s="4">
        <v>5150.9690000000001</v>
      </c>
      <c r="Q6" s="4">
        <v>2653.2402648000002</v>
      </c>
      <c r="R6" s="4">
        <v>192.5527314</v>
      </c>
      <c r="S6" s="4">
        <v>1478.0163480000001</v>
      </c>
      <c r="T6" s="4">
        <v>162.17466300000001</v>
      </c>
      <c r="U6" s="4">
        <v>566.92205879999995</v>
      </c>
      <c r="V6" s="4">
        <v>46.388735199999999</v>
      </c>
      <c r="W6" s="4"/>
      <c r="X6" s="4"/>
      <c r="Y6" s="4"/>
      <c r="Z6" s="4">
        <v>22621.353999999999</v>
      </c>
      <c r="AA6" s="4"/>
      <c r="AB6" s="4">
        <v>1009.391</v>
      </c>
      <c r="AC6" s="4">
        <v>0</v>
      </c>
      <c r="AD6" s="4"/>
      <c r="AE6" s="4"/>
      <c r="AF6" s="4"/>
      <c r="AG6" s="4"/>
      <c r="AH6" s="4"/>
      <c r="AI6" s="4">
        <v>1108.335</v>
      </c>
      <c r="AJ6" s="4"/>
      <c r="AK6" s="4">
        <f t="shared" si="0"/>
        <v>121254.18500000001</v>
      </c>
    </row>
    <row r="7" spans="1:37" x14ac:dyDescent="0.3">
      <c r="A7" s="1" t="s">
        <v>24</v>
      </c>
      <c r="B7" s="4">
        <v>81.793000000000006</v>
      </c>
      <c r="C7" s="4">
        <v>16.648</v>
      </c>
      <c r="D7" s="4">
        <v>1208.1629416000001</v>
      </c>
      <c r="E7" s="4">
        <v>187.527907</v>
      </c>
      <c r="F7" s="4">
        <v>539.93100000000004</v>
      </c>
      <c r="G7" s="4">
        <v>87.266000000000005</v>
      </c>
      <c r="H7" s="4">
        <v>216.84</v>
      </c>
      <c r="I7" s="4">
        <v>337.71300000000002</v>
      </c>
      <c r="J7" s="4">
        <v>231.3851392</v>
      </c>
      <c r="K7" s="4">
        <v>92.283000000000001</v>
      </c>
      <c r="L7" s="4">
        <v>9163.8279999999995</v>
      </c>
      <c r="M7" s="4">
        <v>678.84524399999998</v>
      </c>
      <c r="N7" s="4">
        <v>828.41600000000005</v>
      </c>
      <c r="O7" s="4">
        <v>176.26599999999999</v>
      </c>
      <c r="P7" s="4">
        <v>115.029</v>
      </c>
      <c r="Q7" s="4">
        <v>224.06989199999998</v>
      </c>
      <c r="R7" s="4">
        <v>14.5810584</v>
      </c>
      <c r="S7" s="4">
        <v>115.42509299999999</v>
      </c>
      <c r="T7" s="4">
        <v>31.973860799999997</v>
      </c>
      <c r="U7" s="4">
        <v>80.560756000000012</v>
      </c>
      <c r="V7" s="4">
        <v>3.387108</v>
      </c>
      <c r="W7" s="4"/>
      <c r="X7" s="4"/>
      <c r="Y7" s="4"/>
      <c r="Z7" s="4">
        <v>0</v>
      </c>
      <c r="AA7" s="4"/>
      <c r="AB7" s="4">
        <v>0</v>
      </c>
      <c r="AC7" s="4">
        <v>260546.71799999999</v>
      </c>
      <c r="AD7" s="4"/>
      <c r="AE7" s="4"/>
      <c r="AF7" s="4"/>
      <c r="AG7" s="4"/>
      <c r="AH7" s="4"/>
      <c r="AI7" s="4">
        <v>192.596</v>
      </c>
      <c r="AJ7" s="4"/>
      <c r="AK7" s="4">
        <f t="shared" si="0"/>
        <v>275171.24600000004</v>
      </c>
    </row>
    <row r="8" spans="1:37" x14ac:dyDescent="0.3">
      <c r="A8" s="1" t="s">
        <v>25</v>
      </c>
      <c r="B8" s="4">
        <v>737.41399999999999</v>
      </c>
      <c r="C8" s="4">
        <v>620.40899999999999</v>
      </c>
      <c r="D8" s="4">
        <v>46446.122702100001</v>
      </c>
      <c r="E8" s="4">
        <v>12896.851381999999</v>
      </c>
      <c r="F8" s="4">
        <v>1751.2090000000001</v>
      </c>
      <c r="G8" s="4">
        <v>2400.4740000000002</v>
      </c>
      <c r="H8" s="4">
        <v>10416.995999999999</v>
      </c>
      <c r="I8" s="4">
        <v>1132.614</v>
      </c>
      <c r="J8" s="4">
        <v>1746.7028152</v>
      </c>
      <c r="K8" s="4">
        <v>844.43200000000002</v>
      </c>
      <c r="L8" s="4">
        <v>565.51199999999994</v>
      </c>
      <c r="M8" s="4">
        <v>4849.7428915999999</v>
      </c>
      <c r="N8" s="4">
        <v>2375.6019999999999</v>
      </c>
      <c r="O8" s="4">
        <v>463.315</v>
      </c>
      <c r="P8" s="4">
        <v>593.58199999999999</v>
      </c>
      <c r="Q8" s="4">
        <v>1166.6808176</v>
      </c>
      <c r="R8" s="4">
        <v>540.56729789999997</v>
      </c>
      <c r="S8" s="4">
        <v>7938.1266180000002</v>
      </c>
      <c r="T8" s="4">
        <v>840.84018480000009</v>
      </c>
      <c r="U8" s="4">
        <v>740.79310840000005</v>
      </c>
      <c r="V8" s="4">
        <v>69.573182400000007</v>
      </c>
      <c r="W8" s="4"/>
      <c r="X8" s="4"/>
      <c r="Y8" s="4"/>
      <c r="Z8" s="4">
        <v>30364.851999999999</v>
      </c>
      <c r="AA8" s="4"/>
      <c r="AB8" s="4">
        <v>0</v>
      </c>
      <c r="AC8" s="4">
        <v>683.36199999999997</v>
      </c>
      <c r="AD8" s="4"/>
      <c r="AE8" s="4"/>
      <c r="AF8" s="4"/>
      <c r="AG8" s="4"/>
      <c r="AH8" s="4"/>
      <c r="AI8" s="4">
        <v>34489.231</v>
      </c>
      <c r="AJ8" s="4"/>
      <c r="AK8" s="4">
        <f t="shared" si="0"/>
        <v>164675.005</v>
      </c>
    </row>
    <row r="9" spans="1:37" x14ac:dyDescent="0.3">
      <c r="A9" s="1" t="s">
        <v>26</v>
      </c>
      <c r="B9" s="4">
        <v>577.346</v>
      </c>
      <c r="C9" s="4">
        <v>96.834000000000003</v>
      </c>
      <c r="D9" s="4">
        <v>11546.359639900002</v>
      </c>
      <c r="E9" s="4">
        <v>7444.0061020000003</v>
      </c>
      <c r="F9" s="4">
        <v>920.85500000000002</v>
      </c>
      <c r="G9" s="4">
        <v>1129.566</v>
      </c>
      <c r="H9" s="4">
        <v>2081.9609999999998</v>
      </c>
      <c r="I9" s="4">
        <v>1837.1410000000001</v>
      </c>
      <c r="J9" s="4">
        <v>1883.5396544</v>
      </c>
      <c r="K9" s="4">
        <v>4635.2430000000004</v>
      </c>
      <c r="L9" s="4">
        <v>1664.2449999999999</v>
      </c>
      <c r="M9" s="4">
        <v>10853.474323599999</v>
      </c>
      <c r="N9" s="4">
        <v>2781.7339999999999</v>
      </c>
      <c r="O9" s="4">
        <v>7971.7460000000001</v>
      </c>
      <c r="P9" s="4">
        <v>5893.93</v>
      </c>
      <c r="Q9" s="4">
        <v>4972.7817215999994</v>
      </c>
      <c r="R9" s="4">
        <v>223.27136009999998</v>
      </c>
      <c r="S9" s="4">
        <v>4581.8518979999999</v>
      </c>
      <c r="T9" s="4">
        <v>460.92634559999999</v>
      </c>
      <c r="U9" s="4">
        <v>984.08867639999994</v>
      </c>
      <c r="V9" s="4">
        <v>823.3062784</v>
      </c>
      <c r="W9" s="4"/>
      <c r="X9" s="4"/>
      <c r="Y9" s="4"/>
      <c r="Z9" s="4">
        <v>103692.954</v>
      </c>
      <c r="AA9" s="4"/>
      <c r="AB9" s="4">
        <v>0</v>
      </c>
      <c r="AC9" s="4">
        <v>0</v>
      </c>
      <c r="AD9" s="4"/>
      <c r="AE9" s="4"/>
      <c r="AF9" s="4"/>
      <c r="AG9" s="4"/>
      <c r="AH9" s="4"/>
      <c r="AI9" s="4">
        <v>11206.638000000001</v>
      </c>
      <c r="AJ9" s="4"/>
      <c r="AK9" s="4">
        <f t="shared" si="0"/>
        <v>188263.79900000003</v>
      </c>
    </row>
    <row r="10" spans="1:37" x14ac:dyDescent="0.3">
      <c r="A10" s="1" t="s">
        <v>27</v>
      </c>
      <c r="B10" s="4">
        <v>192.8588944</v>
      </c>
      <c r="C10" s="4">
        <v>15.4031438</v>
      </c>
      <c r="D10" s="4">
        <v>3859.5548882903399</v>
      </c>
      <c r="E10" s="4">
        <v>5783.9950174407995</v>
      </c>
      <c r="F10" s="4">
        <v>350.48432760000003</v>
      </c>
      <c r="G10" s="4">
        <v>391.0806288</v>
      </c>
      <c r="H10" s="4">
        <v>1434.4733881999998</v>
      </c>
      <c r="I10" s="4">
        <v>1283.3645408</v>
      </c>
      <c r="J10" s="4">
        <v>10588.61581808476</v>
      </c>
      <c r="K10" s="4">
        <v>6586.3871867999997</v>
      </c>
      <c r="L10" s="4">
        <v>798.94643240000005</v>
      </c>
      <c r="M10" s="4">
        <v>14772.895082049601</v>
      </c>
      <c r="N10" s="4">
        <v>1855.5883322</v>
      </c>
      <c r="O10" s="4">
        <v>2495.0085743999998</v>
      </c>
      <c r="P10" s="4">
        <v>531.04255520000004</v>
      </c>
      <c r="Q10" s="4">
        <v>2230.7107803209601</v>
      </c>
      <c r="R10" s="4">
        <v>73.513282509660002</v>
      </c>
      <c r="S10" s="4">
        <v>3560.1003257592001</v>
      </c>
      <c r="T10" s="4">
        <v>1844.7920061152402</v>
      </c>
      <c r="U10" s="4">
        <v>514.82698155039998</v>
      </c>
      <c r="V10" s="4">
        <v>154.34374187904001</v>
      </c>
      <c r="W10" s="4"/>
      <c r="X10" s="4"/>
      <c r="Y10" s="4"/>
      <c r="Z10" s="4">
        <v>32987.4141036</v>
      </c>
      <c r="AA10" s="4"/>
      <c r="AB10" s="4">
        <v>0</v>
      </c>
      <c r="AC10" s="4">
        <v>19334.0520894</v>
      </c>
      <c r="AD10" s="4"/>
      <c r="AE10" s="4"/>
      <c r="AF10" s="4"/>
      <c r="AG10" s="4"/>
      <c r="AH10" s="4"/>
      <c r="AI10" s="4">
        <v>8162.4795921999994</v>
      </c>
      <c r="AJ10" s="4"/>
      <c r="AK10" s="4">
        <f t="shared" si="0"/>
        <v>119801.93171380002</v>
      </c>
    </row>
    <row r="11" spans="1:37" x14ac:dyDescent="0.3">
      <c r="A11" s="1" t="s">
        <v>28</v>
      </c>
      <c r="B11" s="4">
        <v>1215.538</v>
      </c>
      <c r="C11" s="4">
        <v>189.65899999999999</v>
      </c>
      <c r="D11" s="4">
        <v>18337.878833299997</v>
      </c>
      <c r="E11" s="4">
        <v>4949.5580449999998</v>
      </c>
      <c r="F11" s="4">
        <v>2030.6369999999999</v>
      </c>
      <c r="G11" s="4">
        <v>5149.8609999999999</v>
      </c>
      <c r="H11" s="4">
        <v>2406.9279999999999</v>
      </c>
      <c r="I11" s="4">
        <v>3136.0410000000002</v>
      </c>
      <c r="J11" s="4">
        <v>1403.0401425999999</v>
      </c>
      <c r="K11" s="4">
        <v>26993.027999999998</v>
      </c>
      <c r="L11" s="4">
        <v>19547.135999999999</v>
      </c>
      <c r="M11" s="4">
        <v>5087.5836840000002</v>
      </c>
      <c r="N11" s="4">
        <v>4822.7690000000002</v>
      </c>
      <c r="O11" s="4">
        <v>1667.7339999999999</v>
      </c>
      <c r="P11" s="4">
        <v>3649.5569999999998</v>
      </c>
      <c r="Q11" s="4">
        <v>1953.5160736</v>
      </c>
      <c r="R11" s="4">
        <v>297.99416669999999</v>
      </c>
      <c r="S11" s="4">
        <v>3046.4969550000001</v>
      </c>
      <c r="T11" s="4">
        <v>345.39685739999999</v>
      </c>
      <c r="U11" s="4">
        <v>254.49931599999999</v>
      </c>
      <c r="V11" s="4">
        <v>127.94292639999999</v>
      </c>
      <c r="W11" s="4"/>
      <c r="X11" s="4"/>
      <c r="Y11" s="4"/>
      <c r="Z11" s="4">
        <v>74115.437999999995</v>
      </c>
      <c r="AA11" s="4"/>
      <c r="AB11" s="4">
        <v>0</v>
      </c>
      <c r="AC11" s="4">
        <v>0</v>
      </c>
      <c r="AD11" s="4"/>
      <c r="AE11" s="4"/>
      <c r="AF11" s="4"/>
      <c r="AG11" s="4"/>
      <c r="AH11" s="4"/>
      <c r="AI11" s="4">
        <v>4694.4139999999998</v>
      </c>
      <c r="AJ11" s="4"/>
      <c r="AK11" s="4">
        <f t="shared" si="0"/>
        <v>185422.64699999997</v>
      </c>
    </row>
    <row r="12" spans="1:37" x14ac:dyDescent="0.3">
      <c r="A12" s="1" t="s">
        <v>29</v>
      </c>
      <c r="B12" s="4">
        <v>66.938999999999993</v>
      </c>
      <c r="C12" s="4">
        <v>7.7779999999999996</v>
      </c>
      <c r="D12" s="4">
        <v>3765.0873956</v>
      </c>
      <c r="E12" s="4">
        <v>9525.6053000000011</v>
      </c>
      <c r="F12" s="4">
        <v>564.01800000000003</v>
      </c>
      <c r="G12" s="4">
        <v>781.15</v>
      </c>
      <c r="H12" s="4">
        <v>1526.3050000000001</v>
      </c>
      <c r="I12" s="4">
        <v>11046.802</v>
      </c>
      <c r="J12" s="4">
        <v>1255.8166237999999</v>
      </c>
      <c r="K12" s="4">
        <v>7286.28</v>
      </c>
      <c r="L12" s="4">
        <v>7981.9889999999996</v>
      </c>
      <c r="M12" s="4">
        <v>7594.8740316000003</v>
      </c>
      <c r="N12" s="4">
        <v>663.04700000000003</v>
      </c>
      <c r="O12" s="4">
        <v>2240.3989999999999</v>
      </c>
      <c r="P12" s="4">
        <v>3963.6190000000001</v>
      </c>
      <c r="Q12" s="4">
        <v>2131.8916151999997</v>
      </c>
      <c r="R12" s="4">
        <v>72.2356044</v>
      </c>
      <c r="S12" s="4">
        <v>5863.0947000000006</v>
      </c>
      <c r="T12" s="4">
        <v>397.69237620000001</v>
      </c>
      <c r="U12" s="4">
        <v>417.46296840000002</v>
      </c>
      <c r="V12" s="4">
        <v>185.7013848</v>
      </c>
      <c r="W12" s="4"/>
      <c r="X12" s="4"/>
      <c r="Y12" s="4"/>
      <c r="Z12" s="4">
        <v>131970.416</v>
      </c>
      <c r="AA12" s="4"/>
      <c r="AB12" s="4">
        <v>0</v>
      </c>
      <c r="AC12" s="4">
        <v>31020.904999999999</v>
      </c>
      <c r="AD12" s="4"/>
      <c r="AE12" s="4"/>
      <c r="AF12" s="4"/>
      <c r="AG12" s="4"/>
      <c r="AH12" s="4"/>
      <c r="AI12" s="4">
        <v>366.53699999999998</v>
      </c>
      <c r="AJ12" s="4"/>
      <c r="AK12" s="4">
        <f t="shared" si="0"/>
        <v>230695.64600000001</v>
      </c>
    </row>
    <row r="13" spans="1:37" x14ac:dyDescent="0.3">
      <c r="A13" s="1" t="s">
        <v>30</v>
      </c>
      <c r="B13" s="4">
        <v>1194.6322560000001</v>
      </c>
      <c r="C13" s="4">
        <v>372.31874719999996</v>
      </c>
      <c r="D13" s="4">
        <v>53346.458361873236</v>
      </c>
      <c r="E13" s="4">
        <v>11948.684433034799</v>
      </c>
      <c r="F13" s="4">
        <v>4122.7771855999999</v>
      </c>
      <c r="G13" s="4">
        <v>19103.287004000002</v>
      </c>
      <c r="H13" s="4">
        <v>8663.9889516000003</v>
      </c>
      <c r="I13" s="4">
        <v>4560.5194072000004</v>
      </c>
      <c r="J13" s="4">
        <v>9195.8555824883188</v>
      </c>
      <c r="K13" s="4">
        <v>11804.1667908</v>
      </c>
      <c r="L13" s="4">
        <v>11519.9387532</v>
      </c>
      <c r="M13" s="4">
        <v>25838.06018970496</v>
      </c>
      <c r="N13" s="4">
        <v>4823.7654276000003</v>
      </c>
      <c r="O13" s="4">
        <v>4404.7740159999994</v>
      </c>
      <c r="P13" s="4">
        <v>2810.4158887999997</v>
      </c>
      <c r="Q13" s="4">
        <v>4235.9067243443196</v>
      </c>
      <c r="R13" s="4">
        <v>445.57611212675999</v>
      </c>
      <c r="S13" s="4">
        <v>7354.5214361651997</v>
      </c>
      <c r="T13" s="4">
        <v>1564.3385039116802</v>
      </c>
      <c r="U13" s="4">
        <v>1747.7323046950401</v>
      </c>
      <c r="V13" s="4">
        <v>167.77737765568</v>
      </c>
      <c r="W13" s="4"/>
      <c r="X13" s="4"/>
      <c r="Y13" s="4"/>
      <c r="Z13" s="4">
        <v>9510.7369512000005</v>
      </c>
      <c r="AA13" s="4"/>
      <c r="AB13" s="4">
        <v>0</v>
      </c>
      <c r="AC13" s="4">
        <v>78578.603039599999</v>
      </c>
      <c r="AD13" s="4"/>
      <c r="AE13" s="4"/>
      <c r="AF13" s="4"/>
      <c r="AG13" s="4"/>
      <c r="AH13" s="4"/>
      <c r="AI13" s="4">
        <v>27312.970383600001</v>
      </c>
      <c r="AJ13" s="4"/>
      <c r="AK13" s="4">
        <f t="shared" si="0"/>
        <v>304627.80582840001</v>
      </c>
    </row>
    <row r="14" spans="1:37" x14ac:dyDescent="0.3">
      <c r="A14" s="1" t="s">
        <v>31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24.742999999999999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2823.0039999999999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/>
      <c r="X14" s="4"/>
      <c r="Y14" s="4"/>
      <c r="Z14" s="4">
        <v>2343.1669999999999</v>
      </c>
      <c r="AA14" s="4"/>
      <c r="AB14" s="4">
        <v>154168.83600000001</v>
      </c>
      <c r="AC14" s="4">
        <v>0</v>
      </c>
      <c r="AD14" s="4"/>
      <c r="AE14" s="4"/>
      <c r="AF14" s="4"/>
      <c r="AG14" s="4"/>
      <c r="AH14" s="4"/>
      <c r="AI14" s="4">
        <v>34.634</v>
      </c>
      <c r="AJ14" s="4"/>
      <c r="AK14" s="4">
        <f t="shared" si="0"/>
        <v>159394.38399999999</v>
      </c>
    </row>
    <row r="15" spans="1:37" x14ac:dyDescent="0.3">
      <c r="A15" s="1" t="s">
        <v>32</v>
      </c>
      <c r="B15" s="4">
        <v>3.448</v>
      </c>
      <c r="C15" s="4">
        <v>0.70699999999999996</v>
      </c>
      <c r="D15" s="4">
        <v>625.93615480000005</v>
      </c>
      <c r="E15" s="4">
        <v>347.66073100000006</v>
      </c>
      <c r="F15" s="4">
        <v>38.337000000000003</v>
      </c>
      <c r="G15" s="4">
        <v>51.823999999999998</v>
      </c>
      <c r="H15" s="4">
        <v>51.536000000000001</v>
      </c>
      <c r="I15" s="4">
        <v>76.668000000000006</v>
      </c>
      <c r="J15" s="4">
        <v>77.490231399999999</v>
      </c>
      <c r="K15" s="4">
        <v>275.61900000000003</v>
      </c>
      <c r="L15" s="4">
        <v>87.917000000000002</v>
      </c>
      <c r="M15" s="4">
        <v>290.11491440000003</v>
      </c>
      <c r="N15" s="4">
        <v>5.4930000000000003</v>
      </c>
      <c r="O15" s="4">
        <v>45.826000000000001</v>
      </c>
      <c r="P15" s="4">
        <v>15.359</v>
      </c>
      <c r="Q15" s="4">
        <v>75.4969064</v>
      </c>
      <c r="R15" s="4">
        <v>6.9688451999999996</v>
      </c>
      <c r="S15" s="4">
        <v>213.988269</v>
      </c>
      <c r="T15" s="4">
        <v>9.9547685999999995</v>
      </c>
      <c r="U15" s="4">
        <v>21.223085599999997</v>
      </c>
      <c r="V15" s="4">
        <v>7.1870935999999999</v>
      </c>
      <c r="W15" s="4"/>
      <c r="X15" s="4"/>
      <c r="Y15" s="4"/>
      <c r="Z15" s="4">
        <v>59211.775000000001</v>
      </c>
      <c r="AA15" s="4"/>
      <c r="AB15" s="4">
        <v>70597.013000000006</v>
      </c>
      <c r="AC15" s="4">
        <v>0</v>
      </c>
      <c r="AD15" s="4"/>
      <c r="AE15" s="4"/>
      <c r="AF15" s="4"/>
      <c r="AG15" s="4"/>
      <c r="AH15" s="4"/>
      <c r="AI15" s="4">
        <v>229.09</v>
      </c>
      <c r="AJ15" s="4"/>
      <c r="AK15" s="4">
        <f t="shared" si="0"/>
        <v>132366.633</v>
      </c>
    </row>
    <row r="16" spans="1:37" x14ac:dyDescent="0.3">
      <c r="A16" s="1" t="s">
        <v>33</v>
      </c>
      <c r="B16" s="4">
        <v>133.06299999999999</v>
      </c>
      <c r="C16" s="4">
        <v>12.196999999999999</v>
      </c>
      <c r="D16" s="4">
        <v>1693.6408796000001</v>
      </c>
      <c r="E16" s="4">
        <v>674.650576</v>
      </c>
      <c r="F16" s="4">
        <v>162.483</v>
      </c>
      <c r="G16" s="4">
        <v>432.90600000000001</v>
      </c>
      <c r="H16" s="4">
        <v>204.63800000000001</v>
      </c>
      <c r="I16" s="4">
        <v>630.59199999999998</v>
      </c>
      <c r="J16" s="4">
        <v>179.65007420000001</v>
      </c>
      <c r="K16" s="4">
        <v>538.45600000000002</v>
      </c>
      <c r="L16" s="4">
        <v>170.917</v>
      </c>
      <c r="M16" s="4">
        <v>805.41984479999996</v>
      </c>
      <c r="N16" s="4">
        <v>101.077</v>
      </c>
      <c r="O16" s="4">
        <v>264.18099999999998</v>
      </c>
      <c r="P16" s="4">
        <v>803.93299999999999</v>
      </c>
      <c r="Q16" s="4">
        <v>279.41703120000005</v>
      </c>
      <c r="R16" s="4">
        <v>22.199120399999998</v>
      </c>
      <c r="S16" s="4">
        <v>415.253424</v>
      </c>
      <c r="T16" s="4">
        <v>43.896925799999998</v>
      </c>
      <c r="U16" s="4">
        <v>65.062155200000007</v>
      </c>
      <c r="V16" s="4">
        <v>13.3509688</v>
      </c>
      <c r="W16" s="4"/>
      <c r="X16" s="4"/>
      <c r="Y16" s="4"/>
      <c r="Z16" s="4">
        <v>58562.298000000003</v>
      </c>
      <c r="AA16" s="4"/>
      <c r="AB16" s="4">
        <v>100693.954</v>
      </c>
      <c r="AC16" s="4">
        <v>0</v>
      </c>
      <c r="AD16" s="4"/>
      <c r="AE16" s="4"/>
      <c r="AF16" s="4"/>
      <c r="AG16" s="4"/>
      <c r="AH16" s="4"/>
      <c r="AI16" s="4">
        <v>847.43</v>
      </c>
      <c r="AJ16" s="4"/>
      <c r="AK16" s="4">
        <f t="shared" si="0"/>
        <v>167750.666</v>
      </c>
    </row>
    <row r="17" spans="1:37" x14ac:dyDescent="0.3">
      <c r="A17" s="1" t="s">
        <v>34</v>
      </c>
      <c r="B17" s="4">
        <v>490.48422960000005</v>
      </c>
      <c r="C17" s="4">
        <v>57.845850400000003</v>
      </c>
      <c r="D17" s="4">
        <v>5522.6325880512804</v>
      </c>
      <c r="E17" s="4">
        <v>1277.5897573712</v>
      </c>
      <c r="F17" s="4">
        <v>484.50808159999997</v>
      </c>
      <c r="G17" s="4">
        <v>780.87810719999993</v>
      </c>
      <c r="H17" s="4">
        <v>3419.5245328000001</v>
      </c>
      <c r="I17" s="4">
        <v>774.08927040000003</v>
      </c>
      <c r="J17" s="4">
        <v>1606.1258126156799</v>
      </c>
      <c r="K17" s="4">
        <v>1046.7970559999999</v>
      </c>
      <c r="L17" s="4">
        <v>782.16495520000001</v>
      </c>
      <c r="M17" s="4">
        <v>3577.9124979695998</v>
      </c>
      <c r="N17" s="4">
        <v>237.7127304</v>
      </c>
      <c r="O17" s="4">
        <v>1195.7336872000001</v>
      </c>
      <c r="P17" s="4">
        <v>1042.2543952000001</v>
      </c>
      <c r="Q17" s="4">
        <v>2649.4047519027199</v>
      </c>
      <c r="R17" s="4">
        <v>76.944455148719996</v>
      </c>
      <c r="S17" s="4">
        <v>786.36784742880002</v>
      </c>
      <c r="T17" s="4">
        <v>283.43870658432013</v>
      </c>
      <c r="U17" s="4">
        <v>182.40537483039998</v>
      </c>
      <c r="V17" s="4">
        <v>98.437080897279998</v>
      </c>
      <c r="W17" s="4"/>
      <c r="X17" s="4"/>
      <c r="Y17" s="4"/>
      <c r="Z17" s="4">
        <v>84307.258000000002</v>
      </c>
      <c r="AA17" s="4"/>
      <c r="AB17" s="4">
        <v>2193.9859999999999</v>
      </c>
      <c r="AC17" s="4">
        <v>674.22500000000002</v>
      </c>
      <c r="AD17" s="4"/>
      <c r="AE17" s="4"/>
      <c r="AF17" s="4"/>
      <c r="AG17" s="4"/>
      <c r="AH17" s="4"/>
      <c r="AI17" s="4">
        <v>2093.6586407999998</v>
      </c>
      <c r="AJ17" s="4"/>
      <c r="AK17" s="4">
        <f t="shared" si="0"/>
        <v>115642.37940960001</v>
      </c>
    </row>
    <row r="18" spans="1:37" x14ac:dyDescent="0.3">
      <c r="A18" s="1" t="s">
        <v>35</v>
      </c>
      <c r="B18" s="4">
        <v>43.240909500000001</v>
      </c>
      <c r="C18" s="4">
        <v>2.4389495999999999</v>
      </c>
      <c r="D18" s="4">
        <v>4809.7858478981698</v>
      </c>
      <c r="E18" s="4">
        <v>403.42785745769999</v>
      </c>
      <c r="F18" s="4">
        <v>368.74344480000002</v>
      </c>
      <c r="G18" s="4">
        <v>487.66490190000002</v>
      </c>
      <c r="H18" s="4">
        <v>333.7537299</v>
      </c>
      <c r="I18" s="4">
        <v>125.9063865</v>
      </c>
      <c r="J18" s="4">
        <v>589.32858982278003</v>
      </c>
      <c r="K18" s="4">
        <v>1097.4490922999998</v>
      </c>
      <c r="L18" s="4">
        <v>92.209987499999997</v>
      </c>
      <c r="M18" s="4">
        <v>2495.8551901984802</v>
      </c>
      <c r="N18" s="4">
        <v>476.90603429999999</v>
      </c>
      <c r="O18" s="4">
        <v>554.97508559999994</v>
      </c>
      <c r="P18" s="4">
        <v>514.72876169999995</v>
      </c>
      <c r="Q18" s="4">
        <v>621.62935620887993</v>
      </c>
      <c r="R18" s="4">
        <v>1267.6495929018301</v>
      </c>
      <c r="S18" s="4">
        <v>248.31343084229999</v>
      </c>
      <c r="T18" s="4">
        <v>248.51274127721999</v>
      </c>
      <c r="U18" s="4">
        <v>683.35216840151998</v>
      </c>
      <c r="V18" s="4">
        <v>50.064382191119996</v>
      </c>
      <c r="W18" s="4"/>
      <c r="X18" s="4"/>
      <c r="Y18" s="4"/>
      <c r="Z18" s="4">
        <v>755.73002789999998</v>
      </c>
      <c r="AA18" s="4"/>
      <c r="AB18" s="4">
        <v>0</v>
      </c>
      <c r="AC18" s="1"/>
      <c r="AD18" s="4">
        <v>6855.9289983000008</v>
      </c>
      <c r="AE18" s="4"/>
      <c r="AF18" s="4"/>
      <c r="AG18" s="4"/>
      <c r="AH18" s="4"/>
      <c r="AI18" s="4">
        <v>5672.7650109000006</v>
      </c>
      <c r="AJ18" s="4"/>
      <c r="AK18" s="4">
        <f t="shared" si="0"/>
        <v>28800.360477899994</v>
      </c>
    </row>
    <row r="19" spans="1:37" x14ac:dyDescent="0.3">
      <c r="A19" s="1" t="s">
        <v>36</v>
      </c>
      <c r="B19" s="4">
        <v>880.28564100000006</v>
      </c>
      <c r="C19" s="4">
        <v>21.456396000000002</v>
      </c>
      <c r="D19" s="4">
        <v>25252.309736199</v>
      </c>
      <c r="E19" s="4">
        <v>2697.968680125</v>
      </c>
      <c r="F19" s="4">
        <v>434.57202899999999</v>
      </c>
      <c r="G19" s="4">
        <v>3136.2350280000001</v>
      </c>
      <c r="H19" s="4">
        <v>1083.530853</v>
      </c>
      <c r="I19" s="4">
        <v>5191.5349560000004</v>
      </c>
      <c r="J19" s="4">
        <v>3097.5656201471998</v>
      </c>
      <c r="K19" s="4">
        <v>360.22749900000002</v>
      </c>
      <c r="L19" s="4">
        <v>234.765342</v>
      </c>
      <c r="M19" s="4">
        <v>1977.3471090011999</v>
      </c>
      <c r="N19" s="4">
        <v>632.66040599999997</v>
      </c>
      <c r="O19" s="4">
        <v>738.58678800000007</v>
      </c>
      <c r="P19" s="4">
        <v>4355.8274579999998</v>
      </c>
      <c r="Q19" s="4">
        <v>1892.7476803848001</v>
      </c>
      <c r="R19" s="4">
        <v>396.68455880099998</v>
      </c>
      <c r="S19" s="4">
        <v>1660.623694875</v>
      </c>
      <c r="T19" s="4">
        <v>180.9302358528</v>
      </c>
      <c r="U19" s="4">
        <v>169.79134499879999</v>
      </c>
      <c r="V19" s="4">
        <v>28.052008615200002</v>
      </c>
      <c r="W19" s="4"/>
      <c r="X19" s="4"/>
      <c r="Y19" s="4"/>
      <c r="Z19" s="4">
        <v>34734.640716000002</v>
      </c>
      <c r="AA19" s="4"/>
      <c r="AB19" s="4">
        <v>0</v>
      </c>
      <c r="AC19" s="1"/>
      <c r="AD19" s="4">
        <v>5857.2966419999993</v>
      </c>
      <c r="AE19" s="4"/>
      <c r="AF19" s="4"/>
      <c r="AG19" s="4"/>
      <c r="AH19" s="4"/>
      <c r="AI19" s="4">
        <v>13774.549794</v>
      </c>
      <c r="AJ19" s="4"/>
      <c r="AK19" s="4">
        <f t="shared" si="0"/>
        <v>108790.19021700001</v>
      </c>
    </row>
    <row r="20" spans="1:37" x14ac:dyDescent="0.3">
      <c r="A20" s="1" t="s">
        <v>37</v>
      </c>
      <c r="B20" s="4">
        <v>22.605105599999998</v>
      </c>
      <c r="C20" s="4">
        <v>3.9398562000000004</v>
      </c>
      <c r="D20" s="4">
        <v>1305.0871701096598</v>
      </c>
      <c r="E20" s="4">
        <v>508.23283255920001</v>
      </c>
      <c r="F20" s="4">
        <v>122.4716724</v>
      </c>
      <c r="G20" s="4">
        <v>106.65537119999999</v>
      </c>
      <c r="H20" s="4">
        <v>362.55861179999999</v>
      </c>
      <c r="I20" s="4">
        <v>121.2194592</v>
      </c>
      <c r="J20" s="4">
        <v>2481.7685253152399</v>
      </c>
      <c r="K20" s="4">
        <v>2466.5178132000001</v>
      </c>
      <c r="L20" s="4">
        <v>178.3205676</v>
      </c>
      <c r="M20" s="4">
        <v>4129.9242579503998</v>
      </c>
      <c r="N20" s="4">
        <v>691.17366780000009</v>
      </c>
      <c r="O20" s="4">
        <v>662.97742559999995</v>
      </c>
      <c r="P20" s="4">
        <v>186.90144480000001</v>
      </c>
      <c r="Q20" s="4">
        <v>351.11221727904001</v>
      </c>
      <c r="R20" s="4">
        <v>28.881659090339998</v>
      </c>
      <c r="S20" s="4">
        <v>312.82182424079997</v>
      </c>
      <c r="T20" s="4">
        <v>1009.09465048476</v>
      </c>
      <c r="U20" s="4">
        <v>185.41967844960001</v>
      </c>
      <c r="V20" s="4">
        <v>31.227260520960002</v>
      </c>
      <c r="W20" s="4"/>
      <c r="X20" s="4"/>
      <c r="Y20" s="4"/>
      <c r="Z20" s="4">
        <v>2325.0428963999998</v>
      </c>
      <c r="AA20" s="4"/>
      <c r="AB20" s="4">
        <v>0</v>
      </c>
      <c r="AC20" s="1"/>
      <c r="AD20" s="4">
        <v>15446.0279106</v>
      </c>
      <c r="AE20" s="4"/>
      <c r="AF20" s="4"/>
      <c r="AG20" s="4"/>
      <c r="AH20" s="4"/>
      <c r="AI20" s="4">
        <v>4249.5384077999997</v>
      </c>
      <c r="AJ20" s="4"/>
      <c r="AK20" s="4">
        <f t="shared" si="0"/>
        <v>37289.520286200001</v>
      </c>
    </row>
    <row r="21" spans="1:37" x14ac:dyDescent="0.3">
      <c r="A21" s="1" t="s">
        <v>38</v>
      </c>
      <c r="B21" s="4">
        <v>30.508744</v>
      </c>
      <c r="C21" s="4">
        <v>18.442252799999999</v>
      </c>
      <c r="D21" s="4">
        <v>5284.8780237267583</v>
      </c>
      <c r="E21" s="4">
        <v>141.97392096519999</v>
      </c>
      <c r="F21" s="4">
        <v>431.61781439999999</v>
      </c>
      <c r="G21" s="4">
        <v>8155.3009959999999</v>
      </c>
      <c r="H21" s="4">
        <v>104.58204840000001</v>
      </c>
      <c r="I21" s="4">
        <v>174.48559280000001</v>
      </c>
      <c r="J21" s="4">
        <v>441.10237591167999</v>
      </c>
      <c r="K21" s="4">
        <v>109.1102092</v>
      </c>
      <c r="L21" s="4">
        <v>122.48024679999999</v>
      </c>
      <c r="M21" s="4">
        <v>1244.7882634950399</v>
      </c>
      <c r="N21" s="4">
        <v>417.51757240000001</v>
      </c>
      <c r="O21" s="4">
        <v>244.75498400000001</v>
      </c>
      <c r="P21" s="4">
        <v>184.34211120000001</v>
      </c>
      <c r="Q21" s="4">
        <v>34.284189255680005</v>
      </c>
      <c r="R21" s="4">
        <v>50.039502273240004</v>
      </c>
      <c r="S21" s="4">
        <v>87.386209834799999</v>
      </c>
      <c r="T21" s="4">
        <v>67.719537688320003</v>
      </c>
      <c r="U21" s="4">
        <v>469.92824210496002</v>
      </c>
      <c r="V21" s="4">
        <v>1.9257087443200001</v>
      </c>
      <c r="W21" s="4"/>
      <c r="X21" s="4"/>
      <c r="Y21" s="4"/>
      <c r="Z21" s="4">
        <v>308.03704879999998</v>
      </c>
      <c r="AA21" s="4"/>
      <c r="AB21" s="4">
        <v>0</v>
      </c>
      <c r="AC21" s="1"/>
      <c r="AD21" s="4">
        <v>12015.987960400002</v>
      </c>
      <c r="AE21" s="4"/>
      <c r="AF21" s="4"/>
      <c r="AG21" s="4"/>
      <c r="AH21" s="4"/>
      <c r="AI21" s="4">
        <v>1830.8726164</v>
      </c>
      <c r="AJ21" s="4"/>
      <c r="AK21" s="4">
        <f t="shared" si="0"/>
        <v>31972.066171599996</v>
      </c>
    </row>
    <row r="22" spans="1:37" x14ac:dyDescent="0.3">
      <c r="A22" s="1" t="s">
        <v>39</v>
      </c>
      <c r="B22" s="4">
        <v>28.176770400000002</v>
      </c>
      <c r="C22" s="4">
        <v>2.9071496000000003</v>
      </c>
      <c r="D22" s="4">
        <v>807.35787384872003</v>
      </c>
      <c r="E22" s="4">
        <v>257.42748862880001</v>
      </c>
      <c r="F22" s="4">
        <v>52.632918400000001</v>
      </c>
      <c r="G22" s="4">
        <v>89.1758928</v>
      </c>
      <c r="H22" s="4">
        <v>253.97546720000003</v>
      </c>
      <c r="I22" s="4">
        <v>114.13372960000001</v>
      </c>
      <c r="J22" s="4">
        <v>97.800280784319995</v>
      </c>
      <c r="K22" s="4">
        <v>471.95594400000004</v>
      </c>
      <c r="L22" s="4">
        <v>65.07404480000001</v>
      </c>
      <c r="M22" s="4">
        <v>640.56296603040005</v>
      </c>
      <c r="N22" s="4">
        <v>126.34526959999999</v>
      </c>
      <c r="O22" s="4">
        <v>497.58931280000002</v>
      </c>
      <c r="P22" s="4">
        <v>94.315604800000003</v>
      </c>
      <c r="Q22" s="4">
        <v>121.12645289728</v>
      </c>
      <c r="R22" s="4">
        <v>5.9410829512800003</v>
      </c>
      <c r="S22" s="4">
        <v>158.44890657120001</v>
      </c>
      <c r="T22" s="4">
        <v>26.744200015679997</v>
      </c>
      <c r="U22" s="4">
        <v>49.036161169600007</v>
      </c>
      <c r="V22" s="4">
        <v>19.118714302720001</v>
      </c>
      <c r="W22" s="4"/>
      <c r="X22" s="4"/>
      <c r="Y22" s="4"/>
      <c r="Z22" s="4">
        <v>0</v>
      </c>
      <c r="AA22" s="4"/>
      <c r="AB22" s="4">
        <v>0</v>
      </c>
      <c r="AC22" s="4">
        <v>0</v>
      </c>
      <c r="AD22" s="4">
        <v>0</v>
      </c>
      <c r="AE22" s="4"/>
      <c r="AF22" s="4"/>
      <c r="AG22" s="4"/>
      <c r="AH22" s="4"/>
      <c r="AI22" s="4">
        <v>0.21635919999999997</v>
      </c>
      <c r="AJ22" s="4"/>
      <c r="AK22" s="4">
        <f t="shared" si="0"/>
        <v>3980.0625904000003</v>
      </c>
    </row>
    <row r="23" spans="1:37" x14ac:dyDescent="0.3">
      <c r="A23" s="1" t="s">
        <v>218</v>
      </c>
      <c r="B23" s="4">
        <v>6547.0230000000001</v>
      </c>
      <c r="C23" s="4">
        <v>865.25400000000002</v>
      </c>
      <c r="D23" s="4">
        <v>192748.72173059999</v>
      </c>
      <c r="E23" s="4">
        <v>49979.141392999998</v>
      </c>
      <c r="F23" s="4">
        <v>12814.433000000001</v>
      </c>
      <c r="G23" s="4">
        <v>86514.203999999998</v>
      </c>
      <c r="H23" s="4">
        <v>32944.266000000003</v>
      </c>
      <c r="I23" s="4">
        <v>34557.43</v>
      </c>
      <c r="J23" s="4">
        <v>23952.216407</v>
      </c>
      <c r="K23" s="4">
        <v>44478.012999999999</v>
      </c>
      <c r="L23" s="4">
        <v>16034.514999999999</v>
      </c>
      <c r="M23" s="4">
        <v>107585.29276160001</v>
      </c>
      <c r="N23" s="4">
        <v>76987.937000000005</v>
      </c>
      <c r="O23" s="4">
        <v>78542.589000000007</v>
      </c>
      <c r="P23" s="4">
        <v>64861.093999999997</v>
      </c>
      <c r="Q23" s="4">
        <v>27180.7150936</v>
      </c>
      <c r="R23" s="4">
        <v>3881.3762694000002</v>
      </c>
      <c r="S23" s="4">
        <v>30762.605607000001</v>
      </c>
      <c r="T23" s="4">
        <v>10553.842593000001</v>
      </c>
      <c r="U23" s="4">
        <v>10545.8472384</v>
      </c>
      <c r="V23" s="4">
        <v>1072.2469063999999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>
        <f>SUM(B23:AJ23)</f>
        <v>913408.76400000008</v>
      </c>
    </row>
    <row r="24" spans="1:37" x14ac:dyDescent="0.3">
      <c r="A24" s="1" t="s">
        <v>4</v>
      </c>
      <c r="B24" s="4">
        <v>24582.852999999999</v>
      </c>
      <c r="C24" s="4">
        <v>1185.5809999999999</v>
      </c>
      <c r="D24" s="4">
        <v>273674.4123729</v>
      </c>
      <c r="E24" s="4">
        <v>35880.453848000005</v>
      </c>
      <c r="F24" s="4">
        <v>24118.968999999997</v>
      </c>
      <c r="G24" s="4">
        <v>16010.707</v>
      </c>
      <c r="H24" s="4">
        <v>27171.904000000002</v>
      </c>
      <c r="I24" s="4">
        <v>13954.298999999999</v>
      </c>
      <c r="J24" s="4">
        <v>34616.607305799997</v>
      </c>
      <c r="K24" s="4">
        <v>56970.512999999999</v>
      </c>
      <c r="L24" s="4">
        <v>119791.432</v>
      </c>
      <c r="M24" s="4">
        <v>52901.981525199997</v>
      </c>
      <c r="N24" s="4">
        <v>44826.656999999999</v>
      </c>
      <c r="O24" s="4">
        <v>13838.985000000001</v>
      </c>
      <c r="P24" s="4">
        <v>23973.508999999998</v>
      </c>
      <c r="Q24" s="4">
        <v>16533.329951199998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>
        <f>SUM(B24:AJ24)</f>
        <v>780032.19400309992</v>
      </c>
    </row>
    <row r="25" spans="1:37" x14ac:dyDescent="0.3">
      <c r="A25" s="1" t="s">
        <v>229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3704.7476271</v>
      </c>
      <c r="S25" s="4">
        <v>22084.738151999998</v>
      </c>
      <c r="T25" s="4">
        <v>13140.2856942</v>
      </c>
      <c r="U25" s="4">
        <v>7041.4374747999991</v>
      </c>
      <c r="V25" s="4">
        <v>669.60904879999998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f>SUM(B25:AJ25)</f>
        <v>46640.817996899998</v>
      </c>
    </row>
    <row r="26" spans="1:37" x14ac:dyDescent="0.3">
      <c r="A26" s="1" t="s">
        <v>230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>SUM(B23:V23)</f>
        <v>913408.76400000008</v>
      </c>
      <c r="X26" s="4">
        <v>261977.7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>
        <f t="shared" si="0"/>
        <v>1175386.4640000002</v>
      </c>
    </row>
    <row r="27" spans="1:37" x14ac:dyDescent="0.3">
      <c r="A27" s="1" t="s">
        <v>220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518054.49400310015</v>
      </c>
      <c r="Y27" s="4">
        <v>46640.817996899998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>
        <f t="shared" si="0"/>
        <v>564695.31200000015</v>
      </c>
    </row>
    <row r="28" spans="1:37" x14ac:dyDescent="0.3">
      <c r="A28" s="1" t="s">
        <v>221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6">
        <v>138813.37551130017</v>
      </c>
      <c r="AB28" s="4"/>
      <c r="AC28" s="6">
        <v>-29461.642511299928</v>
      </c>
      <c r="AD28" s="6"/>
      <c r="AE28" s="4">
        <v>160659.128</v>
      </c>
      <c r="AF28" s="4">
        <v>72174.278000000006</v>
      </c>
      <c r="AG28" s="4">
        <v>96355.684999999823</v>
      </c>
      <c r="AH28" s="4">
        <v>23757.155999999999</v>
      </c>
      <c r="AI28" s="4"/>
      <c r="AJ28" s="4"/>
      <c r="AK28" s="4">
        <f t="shared" si="0"/>
        <v>462297.9800000001</v>
      </c>
    </row>
    <row r="29" spans="1:37" x14ac:dyDescent="0.3">
      <c r="A29" s="1" t="s">
        <v>222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>
        <v>143097</v>
      </c>
      <c r="AA29" s="4">
        <f xml:space="preserve"> 353707.6584887-AA30</f>
        <v>320695.66253886477</v>
      </c>
      <c r="AB29" s="4">
        <f>133634.8-AB30</f>
        <v>126471.5544385352</v>
      </c>
      <c r="AC29" s="4"/>
      <c r="AD29" s="4"/>
      <c r="AE29" s="4"/>
      <c r="AF29" s="4"/>
      <c r="AG29" s="4"/>
      <c r="AH29" s="4"/>
      <c r="AI29" s="4"/>
      <c r="AJ29" s="4"/>
      <c r="AK29" s="4">
        <f t="shared" si="0"/>
        <v>590264.21697740001</v>
      </c>
    </row>
    <row r="30" spans="1:37" x14ac:dyDescent="0.3">
      <c r="A30" s="1" t="s">
        <v>223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>
        <f>SUM(AD18:AD22) * 0.8217</f>
        <v>33011.995949835211</v>
      </c>
      <c r="AB30" s="4">
        <f>SUM(AD18:AD22)*0.1783</f>
        <v>7163.2455614647897</v>
      </c>
      <c r="AC30" s="4"/>
      <c r="AD30" s="4"/>
      <c r="AE30" s="4"/>
      <c r="AF30" s="4"/>
      <c r="AG30" s="4"/>
      <c r="AH30" s="4"/>
      <c r="AI30" s="4"/>
      <c r="AJ30" s="4"/>
      <c r="AK30" s="4">
        <f t="shared" si="0"/>
        <v>40175.241511300002</v>
      </c>
    </row>
    <row r="31" spans="1:37" x14ac:dyDescent="0.3">
      <c r="A31" s="1" t="s">
        <v>231</v>
      </c>
      <c r="B31" s="6">
        <v>-5348.0299999999988</v>
      </c>
      <c r="C31" s="6">
        <v>-144511.804</v>
      </c>
      <c r="D31" s="6">
        <v>140251.24995610025</v>
      </c>
      <c r="E31" s="6">
        <v>11493.956590999995</v>
      </c>
      <c r="F31" s="6">
        <v>42286.777000000002</v>
      </c>
      <c r="G31" s="6">
        <v>28997.324000000051</v>
      </c>
      <c r="H31" s="6">
        <v>9952.8429999999935</v>
      </c>
      <c r="I31" s="6">
        <v>17144.445999999996</v>
      </c>
      <c r="J31" s="6">
        <v>8234.9001144000358</v>
      </c>
      <c r="K31" s="6">
        <v>9481.4509999999718</v>
      </c>
      <c r="L31" s="6">
        <v>32963.459000000003</v>
      </c>
      <c r="M31" s="6">
        <v>-20122.886003599968</v>
      </c>
      <c r="N31" s="6">
        <v>4424.1549999999988</v>
      </c>
      <c r="O31" s="6">
        <v>1591.7249999999913</v>
      </c>
      <c r="P31" s="6">
        <v>9051.3360000000102</v>
      </c>
      <c r="Q31" s="6">
        <v>10893.087884799999</v>
      </c>
      <c r="R31" s="6">
        <v>-1388.9079560999999</v>
      </c>
      <c r="S31" s="6">
        <v>7074.6324090000126</v>
      </c>
      <c r="T31" s="6">
        <v>1151.6948856000017</v>
      </c>
      <c r="U31" s="6">
        <v>-2956.682996399999</v>
      </c>
      <c r="V31" s="6">
        <v>-5.5988847999992686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>
        <f t="shared" si="0"/>
        <v>160659.12800000035</v>
      </c>
    </row>
    <row r="32" spans="1:37" x14ac:dyDescent="0.3">
      <c r="A32" s="1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72174.278000000006</v>
      </c>
      <c r="AB32" s="4"/>
      <c r="AC32" s="4"/>
      <c r="AD32" s="4"/>
      <c r="AE32" s="4"/>
      <c r="AF32" s="4"/>
      <c r="AG32" s="4"/>
      <c r="AH32" s="4"/>
      <c r="AI32" s="4"/>
      <c r="AJ32" s="4"/>
      <c r="AK32" s="4">
        <f t="shared" si="0"/>
        <v>72174.278000000006</v>
      </c>
    </row>
    <row r="33" spans="1:37" x14ac:dyDescent="0.3">
      <c r="A33" s="1" t="s">
        <v>225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7">
        <v>96355.684999999823</v>
      </c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>
        <f t="shared" si="0"/>
        <v>96355.684999999823</v>
      </c>
    </row>
    <row r="34" spans="1:37" x14ac:dyDescent="0.3">
      <c r="A34" s="1" t="s">
        <v>226</v>
      </c>
      <c r="B34" s="4">
        <v>543.61400000000003</v>
      </c>
      <c r="C34" s="4">
        <v>6069.3789999999999</v>
      </c>
      <c r="D34" s="4">
        <v>16859.252943799998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1.0676E-2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0.82699999999999996</v>
      </c>
      <c r="R34" s="4">
        <v>284.06305620000001</v>
      </c>
      <c r="S34" s="4">
        <v>0</v>
      </c>
      <c r="T34" s="4">
        <v>9.3240000000000007E-3</v>
      </c>
      <c r="U34" s="4">
        <v>0</v>
      </c>
      <c r="V34" s="4">
        <v>0</v>
      </c>
      <c r="W34" s="4"/>
      <c r="X34" s="4"/>
      <c r="Y34" s="4"/>
      <c r="Z34" s="7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>
        <f t="shared" si="0"/>
        <v>23757.156000000003</v>
      </c>
    </row>
    <row r="35" spans="1:37" x14ac:dyDescent="0.3">
      <c r="A35" s="1" t="s">
        <v>15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>
        <v>761603.0070000001</v>
      </c>
      <c r="AK35" s="4">
        <f t="shared" si="0"/>
        <v>761603.0070000001</v>
      </c>
    </row>
    <row r="36" spans="1:37" x14ac:dyDescent="0.3">
      <c r="A36" s="1" t="s">
        <v>16</v>
      </c>
      <c r="B36" s="8">
        <v>11582.416999999999</v>
      </c>
      <c r="C36" s="8">
        <v>140621.35</v>
      </c>
      <c r="D36" s="8">
        <v>427720.12769220001</v>
      </c>
      <c r="E36" s="8">
        <v>2378.4344580000002</v>
      </c>
      <c r="F36" s="8">
        <v>177.20099999999999</v>
      </c>
      <c r="G36" s="8">
        <v>35.432000000000002</v>
      </c>
      <c r="H36" s="8">
        <v>24516.612000000001</v>
      </c>
      <c r="I36" s="8">
        <v>18820.819</v>
      </c>
      <c r="J36" s="8">
        <v>6288.0323116</v>
      </c>
      <c r="K36" s="8">
        <v>3965.2249999999999</v>
      </c>
      <c r="L36" s="8">
        <v>1753.3440000000001</v>
      </c>
      <c r="M36" s="8">
        <v>37076.588930799997</v>
      </c>
      <c r="N36" s="8">
        <v>657.35900000000004</v>
      </c>
      <c r="O36" s="8">
        <v>2315.5300000000002</v>
      </c>
      <c r="P36" s="8">
        <v>361.84199999999998</v>
      </c>
      <c r="Q36" s="8">
        <v>6771.4735480000008</v>
      </c>
      <c r="R36" s="8">
        <v>10411.374307800001</v>
      </c>
      <c r="S36" s="8">
        <v>1463.9475419999999</v>
      </c>
      <c r="T36" s="8">
        <v>3255.6526884</v>
      </c>
      <c r="U36" s="8">
        <v>7574.2960691999997</v>
      </c>
      <c r="V36" s="8">
        <v>74.275452000000001</v>
      </c>
      <c r="W36" s="4"/>
      <c r="X36" s="4"/>
      <c r="Y36" s="4"/>
      <c r="Z36" s="4"/>
      <c r="AA36" s="4"/>
      <c r="AB36" s="4"/>
      <c r="AC36" s="7">
        <v>53781.672999999952</v>
      </c>
      <c r="AD36" s="6"/>
      <c r="AE36" s="4"/>
      <c r="AF36" s="4"/>
      <c r="AG36" s="4"/>
      <c r="AH36" s="4"/>
      <c r="AI36" s="4"/>
      <c r="AJ36" s="4"/>
      <c r="AK36" s="4">
        <f t="shared" si="0"/>
        <v>761603.00699999998</v>
      </c>
    </row>
    <row r="37" spans="1:37" x14ac:dyDescent="0.3">
      <c r="A37" s="66" t="s">
        <v>232</v>
      </c>
      <c r="B37" s="4">
        <f>SUM(B2:B36)</f>
        <v>66692.468000000008</v>
      </c>
      <c r="C37" s="4">
        <f t="shared" ref="C37:AJ37" si="1">SUM(C2:C36)</f>
        <v>6468.3619999999937</v>
      </c>
      <c r="D37" s="4">
        <f t="shared" si="1"/>
        <v>1934621.8735221003</v>
      </c>
      <c r="E37" s="4">
        <f t="shared" si="1"/>
        <v>176748.366783</v>
      </c>
      <c r="F37" s="4">
        <f t="shared" si="1"/>
        <v>121254.18500000001</v>
      </c>
      <c r="G37" s="4">
        <f t="shared" si="1"/>
        <v>275171.24599999998</v>
      </c>
      <c r="H37" s="4">
        <f t="shared" si="1"/>
        <v>164675.005</v>
      </c>
      <c r="I37" s="4">
        <f t="shared" si="1"/>
        <v>188263.79900000003</v>
      </c>
      <c r="J37" s="4">
        <f t="shared" si="1"/>
        <v>119801.93171380003</v>
      </c>
      <c r="K37" s="4">
        <f t="shared" si="1"/>
        <v>185422.64699999997</v>
      </c>
      <c r="L37" s="4">
        <f t="shared" si="1"/>
        <v>230695.64600000001</v>
      </c>
      <c r="M37" s="4">
        <f t="shared" si="1"/>
        <v>304627.80582840001</v>
      </c>
      <c r="N37" s="4">
        <f t="shared" si="1"/>
        <v>159394.38399999999</v>
      </c>
      <c r="O37" s="4">
        <f t="shared" si="1"/>
        <v>132366.633</v>
      </c>
      <c r="P37" s="4">
        <f t="shared" si="1"/>
        <v>167750.666</v>
      </c>
      <c r="Q37" s="4">
        <f t="shared" si="1"/>
        <v>115642.37940960001</v>
      </c>
      <c r="R37" s="4">
        <f t="shared" si="1"/>
        <v>28800.360477900002</v>
      </c>
      <c r="S37" s="4">
        <f t="shared" si="1"/>
        <v>108790.19021700001</v>
      </c>
      <c r="T37" s="4">
        <f t="shared" si="1"/>
        <v>37289.520286200001</v>
      </c>
      <c r="U37" s="4">
        <f t="shared" si="1"/>
        <v>31972.066171599996</v>
      </c>
      <c r="V37" s="4">
        <f>SUM(V2:V36)</f>
        <v>3980.0625904000003</v>
      </c>
      <c r="W37" s="4">
        <f t="shared" si="1"/>
        <v>913408.76400000008</v>
      </c>
      <c r="X37" s="4">
        <f t="shared" si="1"/>
        <v>780032.19400310016</v>
      </c>
      <c r="Y37" s="4">
        <f t="shared" si="1"/>
        <v>46640.817996899998</v>
      </c>
      <c r="Z37" s="4">
        <f t="shared" si="1"/>
        <v>1175386.4639999999</v>
      </c>
      <c r="AA37" s="4">
        <f t="shared" si="1"/>
        <v>564695.31200000015</v>
      </c>
      <c r="AB37" s="4">
        <f t="shared" si="1"/>
        <v>462297.98</v>
      </c>
      <c r="AC37" s="4">
        <f t="shared" si="1"/>
        <v>590264.21697740001</v>
      </c>
      <c r="AD37" s="4">
        <f t="shared" si="1"/>
        <v>40175.241511300002</v>
      </c>
      <c r="AE37" s="4">
        <f t="shared" si="1"/>
        <v>160659.128</v>
      </c>
      <c r="AF37" s="4">
        <f t="shared" si="1"/>
        <v>72174.278000000006</v>
      </c>
      <c r="AG37" s="4">
        <f t="shared" si="1"/>
        <v>96355.684999999823</v>
      </c>
      <c r="AH37" s="4">
        <f t="shared" si="1"/>
        <v>23757.155999999999</v>
      </c>
      <c r="AI37" s="4">
        <f t="shared" si="1"/>
        <v>761603.0070000001</v>
      </c>
      <c r="AJ37" s="4">
        <f t="shared" si="1"/>
        <v>761603.0070000001</v>
      </c>
      <c r="AK37" s="4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zoomScale="55" zoomScaleNormal="55" workbookViewId="0">
      <selection activeCell="G47" sqref="G47"/>
    </sheetView>
  </sheetViews>
  <sheetFormatPr defaultRowHeight="17.25" x14ac:dyDescent="0.3"/>
  <cols>
    <col min="1" max="1" width="32.88671875" bestFit="1" customWidth="1"/>
    <col min="2" max="2" width="12.77734375" bestFit="1" customWidth="1"/>
    <col min="3" max="3" width="11.109375" bestFit="1" customWidth="1"/>
    <col min="4" max="5" width="10.109375" bestFit="1" customWidth="1"/>
    <col min="6" max="6" width="12.77734375" bestFit="1" customWidth="1"/>
    <col min="7" max="8" width="11.109375" bestFit="1" customWidth="1"/>
    <col min="10" max="10" width="32.88671875" bestFit="1" customWidth="1"/>
    <col min="11" max="11" width="12.554687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4074.9209999999998</v>
      </c>
      <c r="L9" s="4">
        <v>4.3099999999999996</v>
      </c>
      <c r="M9" s="4">
        <v>31918.581121899999</v>
      </c>
      <c r="N9" s="4">
        <v>47.099710000000002</v>
      </c>
      <c r="O9" s="4">
        <v>10.343</v>
      </c>
      <c r="P9" s="4">
        <v>331.601</v>
      </c>
      <c r="Q9" s="4">
        <v>21.111999999999998</v>
      </c>
      <c r="R9" s="4">
        <v>8770.2880000000005</v>
      </c>
      <c r="S9" s="4">
        <v>19.204805</v>
      </c>
      <c r="T9" s="4">
        <v>36.036000000000001</v>
      </c>
      <c r="U9" s="4">
        <v>8.7260000000000009</v>
      </c>
      <c r="V9" s="4">
        <v>278.2914356</v>
      </c>
      <c r="W9" s="4">
        <v>275.358</v>
      </c>
      <c r="X9" s="4">
        <v>85.817999999999998</v>
      </c>
      <c r="Y9" s="4">
        <v>1072.614</v>
      </c>
      <c r="Z9" s="4">
        <v>199.88271040000001</v>
      </c>
      <c r="AA9" s="4">
        <v>2.0258780999999999</v>
      </c>
      <c r="AB9" s="4">
        <v>28.990290000000002</v>
      </c>
      <c r="AC9" s="4">
        <v>3.135195</v>
      </c>
      <c r="AD9" s="4">
        <v>135.94956440000001</v>
      </c>
      <c r="AE9" s="4">
        <v>5.1982895999999998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3603.7489999999998</v>
      </c>
      <c r="N10" s="4">
        <v>0</v>
      </c>
      <c r="O10" s="4">
        <v>505.74400000000003</v>
      </c>
      <c r="P10" s="4">
        <v>207.971</v>
      </c>
      <c r="Q10" s="4">
        <v>0</v>
      </c>
      <c r="R10" s="4">
        <v>2.1059999999999999</v>
      </c>
      <c r="S10" s="4">
        <v>0</v>
      </c>
      <c r="T10" s="4">
        <v>0</v>
      </c>
      <c r="U10" s="4">
        <v>0.127</v>
      </c>
      <c r="V10" s="4">
        <v>11.3386508</v>
      </c>
      <c r="W10" s="4">
        <v>5.3140000000000001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16665.222090499999</v>
      </c>
      <c r="L11" s="4">
        <v>649.67905039999994</v>
      </c>
      <c r="M11" s="4">
        <v>585018.29295630183</v>
      </c>
      <c r="N11" s="4">
        <v>11139.5151555423</v>
      </c>
      <c r="O11" s="4">
        <v>12077.2145552</v>
      </c>
      <c r="P11" s="4">
        <v>94642.541098100002</v>
      </c>
      <c r="Q11" s="4">
        <v>33107.9062701</v>
      </c>
      <c r="R11" s="4">
        <v>50880.877613500001</v>
      </c>
      <c r="S11" s="4">
        <v>5520.2415999772202</v>
      </c>
      <c r="T11" s="4">
        <v>3863.8709076999999</v>
      </c>
      <c r="U11" s="4">
        <v>3685.2620125000003</v>
      </c>
      <c r="V11" s="4">
        <v>30529.81978020152</v>
      </c>
      <c r="W11" s="4">
        <v>8591.0899657000009</v>
      </c>
      <c r="X11" s="4">
        <v>7197.7209143999999</v>
      </c>
      <c r="Y11" s="4">
        <v>31439.031238299998</v>
      </c>
      <c r="Z11" s="4">
        <v>22568.870746191122</v>
      </c>
      <c r="AA11" s="4">
        <v>7545.5986028981697</v>
      </c>
      <c r="AB11" s="4">
        <v>6856.4705561577002</v>
      </c>
      <c r="AC11" s="4">
        <v>1372.5210689227799</v>
      </c>
      <c r="AD11" s="4">
        <v>2221.6868611984796</v>
      </c>
      <c r="AE11" s="4">
        <v>290.97251540888004</v>
      </c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1430.1753589999998</v>
      </c>
      <c r="L12" s="4">
        <v>34.859603999999997</v>
      </c>
      <c r="M12" s="4">
        <v>41026.718442800993</v>
      </c>
      <c r="N12" s="4">
        <v>4383.3139448749998</v>
      </c>
      <c r="O12" s="4">
        <v>706.03697099999999</v>
      </c>
      <c r="P12" s="4">
        <v>5095.3529719999997</v>
      </c>
      <c r="Q12" s="4">
        <v>1760.382147</v>
      </c>
      <c r="R12" s="4">
        <v>8434.5410439999996</v>
      </c>
      <c r="S12" s="4">
        <v>5032.5278710528009</v>
      </c>
      <c r="T12" s="4">
        <v>585.25150099999996</v>
      </c>
      <c r="U12" s="4">
        <v>381.41665799999998</v>
      </c>
      <c r="V12" s="4">
        <v>3212.5403161988002</v>
      </c>
      <c r="W12" s="4">
        <v>1027.8655940000001</v>
      </c>
      <c r="X12" s="4">
        <v>1199.9612120000002</v>
      </c>
      <c r="Y12" s="4">
        <v>7076.7905420000006</v>
      </c>
      <c r="Z12" s="4">
        <v>3075.0940004151998</v>
      </c>
      <c r="AA12" s="4">
        <v>644.48226219899993</v>
      </c>
      <c r="AB12" s="4">
        <v>2697.968680125</v>
      </c>
      <c r="AC12" s="4">
        <v>293.95227294720013</v>
      </c>
      <c r="AD12" s="4">
        <v>275.85522980119998</v>
      </c>
      <c r="AE12" s="4">
        <v>45.5753105848</v>
      </c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915.37900000000002</v>
      </c>
      <c r="L13" s="4">
        <v>108.589</v>
      </c>
      <c r="M13" s="4">
        <v>37989.514268600004</v>
      </c>
      <c r="N13" s="4">
        <v>2401.2916519999999</v>
      </c>
      <c r="O13" s="4">
        <v>16182.189</v>
      </c>
      <c r="P13" s="4">
        <v>1052.788</v>
      </c>
      <c r="Q13" s="4">
        <v>2613.645</v>
      </c>
      <c r="R13" s="4">
        <v>5156.1679999999997</v>
      </c>
      <c r="S13" s="4">
        <v>1262.403337</v>
      </c>
      <c r="T13" s="4">
        <v>1434.3340000000001</v>
      </c>
      <c r="U13" s="4">
        <v>3101.92</v>
      </c>
      <c r="V13" s="4">
        <v>8317.4379411999998</v>
      </c>
      <c r="W13" s="4">
        <v>1758.8409999999999</v>
      </c>
      <c r="X13" s="4">
        <v>3970.3409999999999</v>
      </c>
      <c r="Y13" s="4">
        <v>5150.9690000000001</v>
      </c>
      <c r="Z13" s="4">
        <v>2653.2402648000002</v>
      </c>
      <c r="AA13" s="4">
        <v>192.5527314</v>
      </c>
      <c r="AB13" s="4">
        <v>1478.0163480000001</v>
      </c>
      <c r="AC13" s="4">
        <v>162.17466300000001</v>
      </c>
      <c r="AD13" s="4">
        <v>566.92205879999995</v>
      </c>
      <c r="AE13" s="4">
        <v>46.388735199999999</v>
      </c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828.41600000000005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737.41399999999999</v>
      </c>
      <c r="L15" s="4">
        <v>620.40899999999999</v>
      </c>
      <c r="M15" s="4">
        <v>46446.122702100001</v>
      </c>
      <c r="N15" s="4">
        <v>12896.851381999999</v>
      </c>
      <c r="O15" s="4">
        <v>1751.2090000000001</v>
      </c>
      <c r="P15" s="4">
        <v>2400.4740000000002</v>
      </c>
      <c r="Q15" s="4">
        <v>10416.995999999999</v>
      </c>
      <c r="R15" s="4">
        <v>1132.614</v>
      </c>
      <c r="S15" s="4">
        <v>1746.7028152</v>
      </c>
      <c r="T15" s="4">
        <v>844.43200000000002</v>
      </c>
      <c r="U15" s="4">
        <v>565.51199999999994</v>
      </c>
      <c r="V15" s="4">
        <v>4849.7428915999999</v>
      </c>
      <c r="W15" s="4">
        <v>2375.6019999999999</v>
      </c>
      <c r="X15" s="4">
        <v>463.315</v>
      </c>
      <c r="Y15" s="4">
        <v>593.58199999999999</v>
      </c>
      <c r="Z15" s="4">
        <v>1166.6808176</v>
      </c>
      <c r="AA15" s="4">
        <v>540.56729789999997</v>
      </c>
      <c r="AB15" s="4">
        <v>7938.1266180000002</v>
      </c>
      <c r="AC15" s="4">
        <v>840.84018480000009</v>
      </c>
      <c r="AD15" s="4">
        <v>740.79310840000005</v>
      </c>
      <c r="AE15" s="4">
        <v>69.573182400000007</v>
      </c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577.346</v>
      </c>
      <c r="L16" s="4">
        <v>96.834000000000003</v>
      </c>
      <c r="M16" s="4">
        <v>11546.359639900002</v>
      </c>
      <c r="N16" s="4">
        <v>7444.0061020000003</v>
      </c>
      <c r="O16" s="4">
        <v>920.85500000000002</v>
      </c>
      <c r="P16" s="4">
        <v>1129.566</v>
      </c>
      <c r="Q16" s="4">
        <v>2081.9609999999998</v>
      </c>
      <c r="R16" s="4">
        <v>1837.1410000000001</v>
      </c>
      <c r="S16" s="4">
        <v>1883.5396544</v>
      </c>
      <c r="T16" s="4">
        <v>4635.2430000000004</v>
      </c>
      <c r="U16" s="4">
        <v>1664.2449999999999</v>
      </c>
      <c r="V16" s="4">
        <v>10853.474323599999</v>
      </c>
      <c r="W16" s="4">
        <v>2781.7339999999999</v>
      </c>
      <c r="X16" s="4">
        <v>7971.7460000000001</v>
      </c>
      <c r="Y16" s="4">
        <v>5893.93</v>
      </c>
      <c r="Z16" s="4">
        <v>4972.7817215999994</v>
      </c>
      <c r="AA16" s="4">
        <v>223.27136009999998</v>
      </c>
      <c r="AB16" s="4">
        <v>4581.8518979999999</v>
      </c>
      <c r="AC16" s="4">
        <v>460.92634559999999</v>
      </c>
      <c r="AD16" s="4">
        <v>984.08867639999994</v>
      </c>
      <c r="AE16" s="4">
        <v>823.3062784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192.8588944</v>
      </c>
      <c r="L17" s="4">
        <v>15.4031438</v>
      </c>
      <c r="M17" s="4">
        <v>3859.5548882903399</v>
      </c>
      <c r="N17" s="4">
        <v>5783.9950174407995</v>
      </c>
      <c r="O17" s="4">
        <v>350.48432760000003</v>
      </c>
      <c r="P17" s="4">
        <v>391.0806288</v>
      </c>
      <c r="Q17" s="4">
        <v>1434.4733881999998</v>
      </c>
      <c r="R17" s="4">
        <v>1283.3645408</v>
      </c>
      <c r="S17" s="4">
        <v>10588.61581808476</v>
      </c>
      <c r="T17" s="4">
        <v>6586.3871867999997</v>
      </c>
      <c r="U17" s="4">
        <v>798.94643240000005</v>
      </c>
      <c r="V17" s="4">
        <v>14772.895082049601</v>
      </c>
      <c r="W17" s="4">
        <v>1855.5883322</v>
      </c>
      <c r="X17" s="4">
        <v>2495.0085743999998</v>
      </c>
      <c r="Y17" s="4">
        <v>531.04255520000004</v>
      </c>
      <c r="Z17" s="4">
        <v>2230.7107803209601</v>
      </c>
      <c r="AA17" s="4">
        <v>73.513282509660002</v>
      </c>
      <c r="AB17" s="4">
        <v>3560.1003257592001</v>
      </c>
      <c r="AC17" s="4">
        <v>1844.7920061152402</v>
      </c>
      <c r="AD17" s="4">
        <v>514.82698155039998</v>
      </c>
      <c r="AE17" s="4">
        <v>154.34374187904001</v>
      </c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1215.538</v>
      </c>
      <c r="L18" s="4">
        <v>189.65899999999999</v>
      </c>
      <c r="M18" s="4">
        <v>18337.878833299997</v>
      </c>
      <c r="N18" s="4">
        <v>4949.5580449999998</v>
      </c>
      <c r="O18" s="4">
        <v>2030.6369999999999</v>
      </c>
      <c r="P18" s="4">
        <v>5149.8609999999999</v>
      </c>
      <c r="Q18" s="4">
        <v>2406.9279999999999</v>
      </c>
      <c r="R18" s="4">
        <v>3136.0410000000002</v>
      </c>
      <c r="S18" s="4">
        <v>1403.0401425999999</v>
      </c>
      <c r="T18" s="4">
        <v>26993.027999999998</v>
      </c>
      <c r="U18" s="4">
        <v>19547.135999999999</v>
      </c>
      <c r="V18" s="4">
        <v>5087.5836840000002</v>
      </c>
      <c r="W18" s="4">
        <v>4822.7690000000002</v>
      </c>
      <c r="X18" s="4">
        <v>1667.7339999999999</v>
      </c>
      <c r="Y18" s="4">
        <v>3649.5569999999998</v>
      </c>
      <c r="Z18" s="4">
        <v>1953.5160736</v>
      </c>
      <c r="AA18" s="4">
        <v>297.99416669999999</v>
      </c>
      <c r="AB18" s="4">
        <v>3046.4969550000001</v>
      </c>
      <c r="AC18" s="4">
        <v>345.39685739999999</v>
      </c>
      <c r="AD18" s="4">
        <v>254.49931599999999</v>
      </c>
      <c r="AE18" s="4">
        <v>127.94292639999999</v>
      </c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66.938999999999993</v>
      </c>
      <c r="L19" s="4">
        <v>7.7779999999999996</v>
      </c>
      <c r="M19" s="4">
        <v>3765.0873956</v>
      </c>
      <c r="N19" s="4">
        <v>9525.6053000000011</v>
      </c>
      <c r="O19" s="4">
        <v>564.01800000000003</v>
      </c>
      <c r="P19" s="4">
        <v>781.15</v>
      </c>
      <c r="Q19" s="4">
        <v>1526.3050000000001</v>
      </c>
      <c r="R19" s="4">
        <v>11046.802</v>
      </c>
      <c r="S19" s="4">
        <v>1255.8166237999999</v>
      </c>
      <c r="T19" s="4">
        <v>7286.28</v>
      </c>
      <c r="U19" s="4">
        <v>7981.9889999999996</v>
      </c>
      <c r="V19" s="4">
        <v>7594.8740316000003</v>
      </c>
      <c r="W19" s="4">
        <v>663.04700000000003</v>
      </c>
      <c r="X19" s="4">
        <v>2240.3989999999999</v>
      </c>
      <c r="Y19" s="4">
        <v>3963.6190000000001</v>
      </c>
      <c r="Z19" s="4">
        <v>2131.8916151999997</v>
      </c>
      <c r="AA19" s="4">
        <v>72.2356044</v>
      </c>
      <c r="AB19" s="4">
        <v>5863.0947000000006</v>
      </c>
      <c r="AC19" s="4">
        <v>397.69237620000001</v>
      </c>
      <c r="AD19" s="4">
        <v>417.46296840000002</v>
      </c>
      <c r="AE19" s="4">
        <v>185.7013848</v>
      </c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1194.6322560000001</v>
      </c>
      <c r="L20" s="4">
        <v>372.31874719999996</v>
      </c>
      <c r="M20" s="4">
        <v>53346.458361873236</v>
      </c>
      <c r="N20" s="4">
        <v>11948.684433034799</v>
      </c>
      <c r="O20" s="4">
        <v>4122.7771855999999</v>
      </c>
      <c r="P20" s="4">
        <v>19103.287004000002</v>
      </c>
      <c r="Q20" s="4">
        <v>8663.9889516000003</v>
      </c>
      <c r="R20" s="4">
        <v>4560.5194072000004</v>
      </c>
      <c r="S20" s="4">
        <v>9195.8555824883188</v>
      </c>
      <c r="T20" s="4">
        <v>11804.1667908</v>
      </c>
      <c r="U20" s="4">
        <v>11519.9387532</v>
      </c>
      <c r="V20" s="4">
        <v>25838.06018970496</v>
      </c>
      <c r="W20" s="4">
        <v>4823.7654276000003</v>
      </c>
      <c r="X20" s="4">
        <v>4404.7740159999994</v>
      </c>
      <c r="Y20" s="4">
        <v>2810.4158887999997</v>
      </c>
      <c r="Z20" s="4">
        <v>4235.9067243443196</v>
      </c>
      <c r="AA20" s="4">
        <v>445.57611212675999</v>
      </c>
      <c r="AB20" s="4">
        <v>7354.5214361651997</v>
      </c>
      <c r="AC20" s="4">
        <v>1564.3385039116802</v>
      </c>
      <c r="AD20" s="4">
        <v>1747.7323046950401</v>
      </c>
      <c r="AE20" s="4">
        <v>167.77737765568</v>
      </c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24.742999999999999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3.448</v>
      </c>
      <c r="L22" s="4">
        <v>0.70699999999999996</v>
      </c>
      <c r="M22" s="4">
        <v>625.93615480000005</v>
      </c>
      <c r="N22" s="4">
        <v>347.66073100000006</v>
      </c>
      <c r="O22" s="4">
        <v>38.337000000000003</v>
      </c>
      <c r="P22" s="4">
        <v>51.823999999999998</v>
      </c>
      <c r="Q22" s="4">
        <v>51.536000000000001</v>
      </c>
      <c r="R22" s="4">
        <v>76.668000000000006</v>
      </c>
      <c r="S22" s="4">
        <v>77.490231399999999</v>
      </c>
      <c r="T22" s="4">
        <v>275.61900000000003</v>
      </c>
      <c r="U22" s="4">
        <v>87.917000000000002</v>
      </c>
      <c r="V22" s="4">
        <v>290.11491440000003</v>
      </c>
      <c r="W22" s="4">
        <v>5.4930000000000003</v>
      </c>
      <c r="X22" s="4">
        <v>45.826000000000001</v>
      </c>
      <c r="Y22" s="4">
        <v>15.359</v>
      </c>
      <c r="Z22" s="4">
        <v>75.4969064</v>
      </c>
      <c r="AA22" s="4">
        <v>6.9688451999999996</v>
      </c>
      <c r="AB22" s="4">
        <v>213.988269</v>
      </c>
      <c r="AC22" s="4">
        <v>9.9547685999999995</v>
      </c>
      <c r="AD22" s="4">
        <v>21.223085599999997</v>
      </c>
      <c r="AE22" s="4">
        <v>7.1870935999999999</v>
      </c>
    </row>
    <row r="23" spans="1:31" x14ac:dyDescent="0.3">
      <c r="J23" s="1" t="s">
        <v>33</v>
      </c>
      <c r="K23" s="4">
        <v>133.06299999999999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101.077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 x14ac:dyDescent="0.3">
      <c r="J24" s="1" t="s">
        <v>34</v>
      </c>
      <c r="K24" s="4">
        <v>490.48422960000005</v>
      </c>
      <c r="L24" s="4">
        <v>57.845850400000003</v>
      </c>
      <c r="M24" s="4">
        <v>5522.6325880512804</v>
      </c>
      <c r="N24" s="4">
        <v>1277.5897573712</v>
      </c>
      <c r="O24" s="4">
        <v>484.50808159999997</v>
      </c>
      <c r="P24" s="4">
        <v>780.87810719999993</v>
      </c>
      <c r="Q24" s="4">
        <v>3419.5245328000001</v>
      </c>
      <c r="R24" s="4">
        <v>774.08927040000003</v>
      </c>
      <c r="S24" s="4">
        <v>1606.1258126156799</v>
      </c>
      <c r="T24" s="4">
        <v>1046.7970559999999</v>
      </c>
      <c r="U24" s="4">
        <v>782.16495520000001</v>
      </c>
      <c r="V24" s="4">
        <v>3577.9124979695998</v>
      </c>
      <c r="W24" s="4">
        <v>237.7127304</v>
      </c>
      <c r="X24" s="4">
        <v>1195.7336872000001</v>
      </c>
      <c r="Y24" s="4">
        <v>1042.2543952000001</v>
      </c>
      <c r="Z24" s="4">
        <v>2649.4047519027199</v>
      </c>
      <c r="AA24" s="4">
        <v>76.944455148719996</v>
      </c>
      <c r="AB24" s="4">
        <v>786.36784742880002</v>
      </c>
      <c r="AC24" s="4">
        <v>283.43870658432013</v>
      </c>
      <c r="AD24" s="4">
        <v>182.40537483039998</v>
      </c>
      <c r="AE24" s="4">
        <v>98.437080897279998</v>
      </c>
    </row>
    <row r="25" spans="1:31" x14ac:dyDescent="0.3">
      <c r="J25" s="1" t="s">
        <v>35</v>
      </c>
      <c r="K25" s="4">
        <v>43.240909500000001</v>
      </c>
      <c r="L25" s="4">
        <v>2.4389495999999999</v>
      </c>
      <c r="M25" s="4">
        <v>4809.7858478981698</v>
      </c>
      <c r="N25" s="4">
        <v>403.42785745769999</v>
      </c>
      <c r="O25" s="4">
        <v>368.74344480000002</v>
      </c>
      <c r="P25" s="4">
        <v>487.66490190000002</v>
      </c>
      <c r="Q25" s="4">
        <v>333.7537299</v>
      </c>
      <c r="R25" s="4">
        <v>125.9063865</v>
      </c>
      <c r="S25" s="4">
        <v>589.32858982278003</v>
      </c>
      <c r="T25" s="4">
        <v>1097.4490922999998</v>
      </c>
      <c r="U25" s="4">
        <v>92.209987499999997</v>
      </c>
      <c r="V25" s="4">
        <v>2495.8551901984802</v>
      </c>
      <c r="W25" s="4">
        <v>476.90603429999999</v>
      </c>
      <c r="X25" s="4">
        <v>554.97508559999994</v>
      </c>
      <c r="Y25" s="4">
        <v>514.72876169999995</v>
      </c>
      <c r="Z25" s="4">
        <v>621.62935620887993</v>
      </c>
      <c r="AA25" s="4">
        <v>1267.6495929018301</v>
      </c>
      <c r="AB25" s="4">
        <v>248.31343084229999</v>
      </c>
      <c r="AC25" s="4">
        <v>248.51274127721999</v>
      </c>
      <c r="AD25" s="4">
        <v>683.35216840151998</v>
      </c>
      <c r="AE25" s="4">
        <v>50.064382191119996</v>
      </c>
    </row>
    <row r="26" spans="1:31" x14ac:dyDescent="0.3">
      <c r="J26" s="1" t="s">
        <v>36</v>
      </c>
      <c r="K26" s="4">
        <v>880.28564100000006</v>
      </c>
      <c r="L26" s="4">
        <v>21.456396000000002</v>
      </c>
      <c r="M26" s="4">
        <v>25252.309736199</v>
      </c>
      <c r="N26" s="4">
        <v>2697.968680125</v>
      </c>
      <c r="O26" s="4">
        <v>434.57202899999999</v>
      </c>
      <c r="P26" s="4">
        <v>3136.2350280000001</v>
      </c>
      <c r="Q26" s="4">
        <v>1083.530853</v>
      </c>
      <c r="R26" s="4">
        <v>5191.5349560000004</v>
      </c>
      <c r="S26" s="4">
        <v>3097.5656201471998</v>
      </c>
      <c r="T26" s="4">
        <v>360.22749900000002</v>
      </c>
      <c r="U26" s="4">
        <v>234.765342</v>
      </c>
      <c r="V26" s="4">
        <v>1977.3471090011999</v>
      </c>
      <c r="W26" s="4">
        <v>632.66040599999997</v>
      </c>
      <c r="X26" s="4">
        <v>738.58678800000007</v>
      </c>
      <c r="Y26" s="4">
        <v>4355.8274579999998</v>
      </c>
      <c r="Z26" s="4">
        <v>1892.7476803848001</v>
      </c>
      <c r="AA26" s="4">
        <v>396.68455880099998</v>
      </c>
      <c r="AB26" s="4">
        <v>1660.623694875</v>
      </c>
      <c r="AC26" s="4">
        <v>180.9302358528</v>
      </c>
      <c r="AD26" s="4">
        <v>169.79134499879999</v>
      </c>
      <c r="AE26" s="4">
        <v>28.052008615200002</v>
      </c>
    </row>
    <row r="27" spans="1:31" x14ac:dyDescent="0.3">
      <c r="J27" s="1" t="s">
        <v>37</v>
      </c>
      <c r="K27" s="4">
        <v>22.605105599999998</v>
      </c>
      <c r="L27" s="4">
        <v>3.9398562000000004</v>
      </c>
      <c r="M27" s="4">
        <v>1305.0871701096598</v>
      </c>
      <c r="N27" s="4">
        <v>508.23283255920001</v>
      </c>
      <c r="O27" s="4">
        <v>122.4716724</v>
      </c>
      <c r="P27" s="4">
        <v>106.65537119999999</v>
      </c>
      <c r="Q27" s="4">
        <v>362.55861179999999</v>
      </c>
      <c r="R27" s="4">
        <v>121.2194592</v>
      </c>
      <c r="S27" s="4">
        <v>2481.7685253152399</v>
      </c>
      <c r="T27" s="4">
        <v>2466.5178132000001</v>
      </c>
      <c r="U27" s="4">
        <v>178.3205676</v>
      </c>
      <c r="V27" s="4">
        <v>4129.9242579503998</v>
      </c>
      <c r="W27" s="4">
        <v>691.17366780000009</v>
      </c>
      <c r="X27" s="4">
        <v>662.97742559999995</v>
      </c>
      <c r="Y27" s="4">
        <v>186.90144480000001</v>
      </c>
      <c r="Z27" s="4">
        <v>351.11221727904001</v>
      </c>
      <c r="AA27" s="4">
        <v>28.881659090339998</v>
      </c>
      <c r="AB27" s="4">
        <v>312.82182424079997</v>
      </c>
      <c r="AC27" s="4">
        <v>1009.09465048476</v>
      </c>
      <c r="AD27" s="4">
        <v>185.41967844960001</v>
      </c>
      <c r="AE27" s="4">
        <v>31.227260520960002</v>
      </c>
    </row>
    <row r="28" spans="1:31" x14ac:dyDescent="0.3">
      <c r="J28" s="1" t="s">
        <v>38</v>
      </c>
      <c r="K28" s="4">
        <v>30.508744</v>
      </c>
      <c r="L28" s="4">
        <v>18.442252799999999</v>
      </c>
      <c r="M28" s="4">
        <v>5284.8780237267583</v>
      </c>
      <c r="N28" s="4">
        <v>141.97392096519999</v>
      </c>
      <c r="O28" s="4">
        <v>431.61781439999999</v>
      </c>
      <c r="P28" s="4">
        <v>8155.3009959999999</v>
      </c>
      <c r="Q28" s="4">
        <v>104.58204840000001</v>
      </c>
      <c r="R28" s="4">
        <v>174.48559280000001</v>
      </c>
      <c r="S28" s="4">
        <v>441.10237591167999</v>
      </c>
      <c r="T28" s="4">
        <v>109.1102092</v>
      </c>
      <c r="U28" s="4">
        <v>122.48024679999999</v>
      </c>
      <c r="V28" s="4">
        <v>1244.7882634950399</v>
      </c>
      <c r="W28" s="4">
        <v>417.51757240000001</v>
      </c>
      <c r="X28" s="4">
        <v>244.75498400000001</v>
      </c>
      <c r="Y28" s="4">
        <v>184.34211120000001</v>
      </c>
      <c r="Z28" s="4">
        <v>34.284189255680005</v>
      </c>
      <c r="AA28" s="4">
        <v>50.039502273240004</v>
      </c>
      <c r="AB28" s="4">
        <v>87.386209834799999</v>
      </c>
      <c r="AC28" s="4">
        <v>67.719537688320003</v>
      </c>
      <c r="AD28" s="4">
        <v>469.92824210496002</v>
      </c>
      <c r="AE28" s="4">
        <v>1.9257087443200001</v>
      </c>
    </row>
    <row r="29" spans="1:31" x14ac:dyDescent="0.3">
      <c r="J29" s="1" t="s">
        <v>39</v>
      </c>
      <c r="K29" s="4">
        <v>28.176770400000002</v>
      </c>
      <c r="L29" s="4">
        <v>2.9071496000000003</v>
      </c>
      <c r="M29" s="4">
        <v>807.35787384872003</v>
      </c>
      <c r="N29" s="4">
        <v>257.42748862880001</v>
      </c>
      <c r="O29" s="4">
        <v>52.632918400000001</v>
      </c>
      <c r="P29" s="4">
        <v>89.1758928</v>
      </c>
      <c r="Q29" s="4">
        <v>253.97546720000003</v>
      </c>
      <c r="R29" s="4">
        <v>114.13372960000001</v>
      </c>
      <c r="S29" s="4">
        <v>97.800280784319995</v>
      </c>
      <c r="T29" s="4">
        <v>471.95594400000004</v>
      </c>
      <c r="U29" s="4">
        <v>65.07404480000001</v>
      </c>
      <c r="V29" s="4">
        <v>640.56296603040005</v>
      </c>
      <c r="W29" s="4">
        <v>126.34526959999999</v>
      </c>
      <c r="X29" s="4">
        <v>497.58931280000002</v>
      </c>
      <c r="Y29" s="4">
        <v>94.315604800000003</v>
      </c>
      <c r="Z29" s="4">
        <v>121.12645289728</v>
      </c>
      <c r="AA29" s="4">
        <v>5.9410829512800003</v>
      </c>
      <c r="AB29" s="4">
        <v>158.44890657120001</v>
      </c>
      <c r="AC29" s="4">
        <v>26.744200015679997</v>
      </c>
      <c r="AD29" s="4">
        <v>49.036161169600007</v>
      </c>
      <c r="AE29" s="4">
        <v>19.118714302720001</v>
      </c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51</v>
      </c>
      <c r="B31" s="39">
        <f t="array" ref="B31:F35">MMULT(K31:AE35,B2:F22)</f>
        <v>4081.9709999999995</v>
      </c>
      <c r="C31" s="39">
        <v>35522.330121899999</v>
      </c>
      <c r="D31" s="39">
        <v>1055.6590000000001</v>
      </c>
      <c r="E31" s="39">
        <v>10844.1333118</v>
      </c>
      <c r="F31" s="39">
        <v>175.87156630000001</v>
      </c>
      <c r="G31" s="11">
        <f>SUM(B31:F31)</f>
        <v>51679.964999999989</v>
      </c>
      <c r="K31" s="11">
        <f t="array" ref="K31:AE35">MMULT(L2:AF6,K9:AE29)</f>
        <v>4075.4809999999998</v>
      </c>
      <c r="L31" s="11">
        <v>6.49</v>
      </c>
      <c r="M31" s="11">
        <v>35522.330121899999</v>
      </c>
      <c r="N31" s="11">
        <v>47.099710000000002</v>
      </c>
      <c r="O31" s="11">
        <v>516.08699999999999</v>
      </c>
      <c r="P31" s="11">
        <v>539.572</v>
      </c>
      <c r="Q31" s="11">
        <v>21.111999999999998</v>
      </c>
      <c r="R31" s="11">
        <v>8772.3940000000002</v>
      </c>
      <c r="S31" s="11">
        <v>19.204805</v>
      </c>
      <c r="T31" s="11">
        <v>36.036000000000001</v>
      </c>
      <c r="U31" s="11">
        <v>8.8530000000000015</v>
      </c>
      <c r="V31" s="11">
        <v>289.63008639999998</v>
      </c>
      <c r="W31" s="11">
        <v>280.67200000000003</v>
      </c>
      <c r="X31" s="11">
        <v>85.914000000000001</v>
      </c>
      <c r="Y31" s="11">
        <v>1081.2570000000001</v>
      </c>
      <c r="Z31" s="11">
        <v>201.96071040000001</v>
      </c>
      <c r="AA31" s="11">
        <v>2.0258780999999999</v>
      </c>
      <c r="AB31" s="11">
        <v>28.990290000000002</v>
      </c>
      <c r="AC31" s="11">
        <v>3.135195</v>
      </c>
      <c r="AD31" s="11">
        <v>136.5219136</v>
      </c>
      <c r="AE31" s="11">
        <v>5.1982895999999998</v>
      </c>
    </row>
    <row r="32" spans="1:31" x14ac:dyDescent="0.3">
      <c r="A32" t="s">
        <v>52</v>
      </c>
      <c r="B32" s="39">
        <v>17314.901140899998</v>
      </c>
      <c r="C32" s="39">
        <v>585018.29295630183</v>
      </c>
      <c r="D32" s="39">
        <v>106719.7556533</v>
      </c>
      <c r="E32" s="39">
        <v>208524.20620411215</v>
      </c>
      <c r="F32" s="39">
        <v>18287.249604586013</v>
      </c>
      <c r="G32" s="11">
        <f t="shared" ref="G32:G35" si="0">SUM(B32:F32)</f>
        <v>935864.40555919998</v>
      </c>
      <c r="K32" s="11">
        <v>16665.222090499999</v>
      </c>
      <c r="L32" s="11">
        <v>649.67905039999994</v>
      </c>
      <c r="M32" s="11">
        <v>585018.29295630183</v>
      </c>
      <c r="N32" s="11">
        <v>11139.5151555423</v>
      </c>
      <c r="O32" s="11">
        <v>12077.2145552</v>
      </c>
      <c r="P32" s="11">
        <v>94642.541098100002</v>
      </c>
      <c r="Q32" s="11">
        <v>33107.9062701</v>
      </c>
      <c r="R32" s="11">
        <v>50880.877613500001</v>
      </c>
      <c r="S32" s="11">
        <v>5520.2415999772202</v>
      </c>
      <c r="T32" s="11">
        <v>3863.8709076999999</v>
      </c>
      <c r="U32" s="11">
        <v>3685.2620125000003</v>
      </c>
      <c r="V32" s="11">
        <v>30529.81978020152</v>
      </c>
      <c r="W32" s="11">
        <v>8591.0899657000009</v>
      </c>
      <c r="X32" s="11">
        <v>7197.7209143999999</v>
      </c>
      <c r="Y32" s="11">
        <v>31439.031238299998</v>
      </c>
      <c r="Z32" s="11">
        <v>22568.870746191122</v>
      </c>
      <c r="AA32" s="11">
        <v>7545.5986028981697</v>
      </c>
      <c r="AB32" s="11">
        <v>6856.4705561577002</v>
      </c>
      <c r="AC32" s="11">
        <v>1372.5210689227799</v>
      </c>
      <c r="AD32" s="11">
        <v>2221.6868611984796</v>
      </c>
      <c r="AE32" s="11">
        <v>290.97251540888004</v>
      </c>
    </row>
    <row r="33" spans="1:31" x14ac:dyDescent="0.3">
      <c r="A33" t="s">
        <v>53</v>
      </c>
      <c r="B33" s="39">
        <v>1122.4090000000001</v>
      </c>
      <c r="C33" s="39">
        <v>39197.677210200003</v>
      </c>
      <c r="D33" s="39">
        <v>17862.173999999999</v>
      </c>
      <c r="E33" s="39">
        <v>50072.794377199993</v>
      </c>
      <c r="F33" s="39">
        <v>2691.9824126000003</v>
      </c>
      <c r="G33" s="11">
        <f t="shared" si="0"/>
        <v>110947.037</v>
      </c>
      <c r="K33" s="11">
        <v>997.17200000000003</v>
      </c>
      <c r="L33" s="11">
        <v>125.23699999999999</v>
      </c>
      <c r="M33" s="11">
        <v>39197.677210200003</v>
      </c>
      <c r="N33" s="11">
        <v>2588.819559</v>
      </c>
      <c r="O33" s="11">
        <v>16722.12</v>
      </c>
      <c r="P33" s="11">
        <v>1140.0540000000001</v>
      </c>
      <c r="Q33" s="11">
        <v>2830.4850000000001</v>
      </c>
      <c r="R33" s="11">
        <v>5493.8809999999994</v>
      </c>
      <c r="S33" s="11">
        <v>1493.7884761999999</v>
      </c>
      <c r="T33" s="11">
        <v>1526.617</v>
      </c>
      <c r="U33" s="11">
        <v>12265.748</v>
      </c>
      <c r="V33" s="11">
        <v>8996.2831851999999</v>
      </c>
      <c r="W33" s="11">
        <v>2587.2570000000001</v>
      </c>
      <c r="X33" s="11">
        <v>4146.607</v>
      </c>
      <c r="Y33" s="11">
        <v>5265.9979999999996</v>
      </c>
      <c r="Z33" s="11">
        <v>2877.3101568000002</v>
      </c>
      <c r="AA33" s="11">
        <v>207.13378979999999</v>
      </c>
      <c r="AB33" s="11">
        <v>1593.4414410000002</v>
      </c>
      <c r="AC33" s="11">
        <v>194.14852380000002</v>
      </c>
      <c r="AD33" s="11">
        <v>647.48281479999991</v>
      </c>
      <c r="AE33" s="11">
        <v>49.775843199999997</v>
      </c>
    </row>
    <row r="34" spans="1:31" x14ac:dyDescent="0.3">
      <c r="A34" t="s">
        <v>54</v>
      </c>
      <c r="B34" s="39">
        <v>7449.9100844000004</v>
      </c>
      <c r="C34" s="39">
        <v>186170.38988631585</v>
      </c>
      <c r="D34" s="39">
        <v>46447.725277800004</v>
      </c>
      <c r="E34" s="39">
        <v>430701.30968346947</v>
      </c>
      <c r="F34" s="39">
        <v>51843.89615441463</v>
      </c>
      <c r="G34" s="11">
        <f t="shared" si="0"/>
        <v>722613.23108639999</v>
      </c>
      <c r="K34" s="11">
        <v>6041.8987390000002</v>
      </c>
      <c r="L34" s="11">
        <v>1408.0113453999998</v>
      </c>
      <c r="M34" s="11">
        <v>186170.38988631585</v>
      </c>
      <c r="N34" s="11">
        <v>59231.915288721801</v>
      </c>
      <c r="O34" s="11">
        <v>11131.345565800002</v>
      </c>
      <c r="P34" s="11">
        <v>35316.379712000002</v>
      </c>
      <c r="Q34" s="11">
        <v>31991.476019599999</v>
      </c>
      <c r="R34" s="11">
        <v>32912.3722624</v>
      </c>
      <c r="S34" s="11">
        <v>32969.364625841561</v>
      </c>
      <c r="T34" s="11">
        <v>60595.6605346</v>
      </c>
      <c r="U34" s="11">
        <v>43500.1827988</v>
      </c>
      <c r="V34" s="11">
        <v>76882.617775922961</v>
      </c>
      <c r="W34" s="11">
        <v>18694.654084199999</v>
      </c>
      <c r="X34" s="11">
        <v>21948.678489599999</v>
      </c>
      <c r="Y34" s="11">
        <v>26380.4833812</v>
      </c>
      <c r="Z34" s="11">
        <v>25593.904422583197</v>
      </c>
      <c r="AA34" s="11">
        <v>2403.7525066841399</v>
      </c>
      <c r="AB34" s="11">
        <v>36457.77015347821</v>
      </c>
      <c r="AC34" s="11">
        <v>6085.2289479584397</v>
      </c>
      <c r="AD34" s="11">
        <v>5203.9492008770394</v>
      </c>
      <c r="AE34" s="11">
        <v>1693.1953454168001</v>
      </c>
    </row>
    <row r="35" spans="1:31" x14ac:dyDescent="0.3">
      <c r="A35" t="s">
        <v>55</v>
      </c>
      <c r="B35" s="39">
        <v>1054.0017747000002</v>
      </c>
      <c r="C35" s="39">
        <v>37459.418651782304</v>
      </c>
      <c r="D35" s="39">
        <v>13385.070068899999</v>
      </c>
      <c r="E35" s="39">
        <v>47669.367361818317</v>
      </c>
      <c r="F35" s="39">
        <v>7437.7074971993707</v>
      </c>
      <c r="G35" s="11">
        <f t="shared" si="0"/>
        <v>107005.56535439999</v>
      </c>
      <c r="K35" s="11">
        <v>1004.8171705000001</v>
      </c>
      <c r="L35" s="11">
        <v>49.184604199999995</v>
      </c>
      <c r="M35" s="11">
        <v>37459.418651782304</v>
      </c>
      <c r="N35" s="11">
        <v>4009.0307797358996</v>
      </c>
      <c r="O35" s="11">
        <v>1410.0378790000002</v>
      </c>
      <c r="P35" s="11">
        <v>11975.032189899999</v>
      </c>
      <c r="Q35" s="11">
        <v>2138.4007102999999</v>
      </c>
      <c r="R35" s="11">
        <v>5727.2801240999997</v>
      </c>
      <c r="S35" s="11">
        <v>6707.5653919812194</v>
      </c>
      <c r="T35" s="11">
        <v>4505.2605577000004</v>
      </c>
      <c r="U35" s="11">
        <v>692.85018869999999</v>
      </c>
      <c r="V35" s="11">
        <v>10488.477786675521</v>
      </c>
      <c r="W35" s="11">
        <v>2344.6029501000003</v>
      </c>
      <c r="X35" s="11">
        <v>2698.8835960000006</v>
      </c>
      <c r="Y35" s="11">
        <v>5336.1153804999994</v>
      </c>
      <c r="Z35" s="11">
        <v>3020.8998960256799</v>
      </c>
      <c r="AA35" s="11">
        <v>1749.1963960176902</v>
      </c>
      <c r="AB35" s="11">
        <v>2467.5940663640999</v>
      </c>
      <c r="AC35" s="11">
        <v>1533.00136531878</v>
      </c>
      <c r="AD35" s="11">
        <v>1557.5275951244801</v>
      </c>
      <c r="AE35" s="11">
        <v>130.38807437432001</v>
      </c>
    </row>
    <row r="36" spans="1:31" x14ac:dyDescent="0.3">
      <c r="B36" s="11">
        <f>SUM(B31:B35)</f>
        <v>31023.192999999999</v>
      </c>
      <c r="C36" s="11">
        <f t="shared" ref="C36:F36" si="1">SUM(C31:C35)</f>
        <v>883368.10882650001</v>
      </c>
      <c r="D36" s="11">
        <f t="shared" si="1"/>
        <v>185470.38400000002</v>
      </c>
      <c r="E36" s="11">
        <f t="shared" si="1"/>
        <v>747811.81093839987</v>
      </c>
      <c r="F36" s="11">
        <f t="shared" si="1"/>
        <v>80436.707235100024</v>
      </c>
      <c r="G36" s="14">
        <f>SUM(G31:G35)</f>
        <v>1928110.2040000001</v>
      </c>
      <c r="H36" s="14">
        <f>SUM(B36:F36)</f>
        <v>1928110.2039999997</v>
      </c>
    </row>
    <row r="37" spans="1:31" x14ac:dyDescent="0.3">
      <c r="A37" t="s">
        <v>56</v>
      </c>
    </row>
    <row r="39" spans="1:31" x14ac:dyDescent="0.3">
      <c r="J39" s="88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</row>
    <row r="40" spans="1:31" x14ac:dyDescent="0.3">
      <c r="J40" s="88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</row>
    <row r="41" spans="1:31" x14ac:dyDescent="0.3">
      <c r="J41" s="88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</row>
    <row r="42" spans="1:31" x14ac:dyDescent="0.3">
      <c r="J42" s="88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</row>
    <row r="43" spans="1:31" x14ac:dyDescent="0.3">
      <c r="J43" s="88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</row>
    <row r="44" spans="1:31" x14ac:dyDescent="0.3">
      <c r="J44" s="88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</row>
    <row r="45" spans="1:31" x14ac:dyDescent="0.3">
      <c r="J45" s="88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</row>
    <row r="46" spans="1:31" x14ac:dyDescent="0.3">
      <c r="J46" s="88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</row>
    <row r="47" spans="1:31" x14ac:dyDescent="0.3">
      <c r="J47" s="88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</row>
    <row r="48" spans="1:31" x14ac:dyDescent="0.3">
      <c r="J48" s="88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</row>
    <row r="49" spans="10:31" x14ac:dyDescent="0.3">
      <c r="J49" s="88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</row>
    <row r="50" spans="10:31" x14ac:dyDescent="0.3">
      <c r="J50" s="88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</row>
    <row r="51" spans="10:31" x14ac:dyDescent="0.3">
      <c r="J51" s="88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</row>
    <row r="52" spans="10:31" x14ac:dyDescent="0.3">
      <c r="J52" s="88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</row>
    <row r="53" spans="10:31" x14ac:dyDescent="0.3">
      <c r="J53" s="88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</row>
    <row r="54" spans="10:31" x14ac:dyDescent="0.3">
      <c r="J54" s="88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</row>
    <row r="55" spans="10:31" x14ac:dyDescent="0.3">
      <c r="J55" s="88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</row>
    <row r="56" spans="10:31" x14ac:dyDescent="0.3">
      <c r="J56" s="88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</row>
    <row r="57" spans="10:31" x14ac:dyDescent="0.3">
      <c r="J57" s="88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</row>
    <row r="58" spans="10:31" x14ac:dyDescent="0.3">
      <c r="J58" s="88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0:31" x14ac:dyDescent="0.3">
      <c r="J59" s="88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opLeftCell="F7" zoomScale="70" zoomScaleNormal="70" workbookViewId="0">
      <selection activeCell="R48" sqref="R48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2.21875" bestFit="1" customWidth="1"/>
    <col min="9" max="9" width="12.21875" customWidth="1"/>
    <col min="11" max="11" width="12.44140625" bestFit="1" customWidth="1"/>
    <col min="13" max="13" width="16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8" t="s">
        <v>216</v>
      </c>
      <c r="I1" s="78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H2" s="48">
        <v>-72564</v>
      </c>
      <c r="I2" s="72">
        <f>H2/1000</f>
        <v>-72.563999999999993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H3" s="48">
        <v>1989682</v>
      </c>
      <c r="I3" s="72">
        <f t="shared" ref="I3:I22" si="0">H3/1000</f>
        <v>1989.682</v>
      </c>
      <c r="K3" t="s">
        <v>4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G3" s="5">
        <f>SUM(L3:AF3)</f>
        <v>780032.19400309992</v>
      </c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  <c r="H4" s="48">
        <v>18168096.655900002</v>
      </c>
      <c r="I4" s="72">
        <f t="shared" si="0"/>
        <v>18168.096655900001</v>
      </c>
      <c r="K4" s="62" t="s">
        <v>199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>
        <v>3704.7476271</v>
      </c>
      <c r="AC4" s="4">
        <v>22084.738151999998</v>
      </c>
      <c r="AD4" s="4">
        <v>13140.2856942</v>
      </c>
      <c r="AE4" s="4">
        <v>7041.4374747999991</v>
      </c>
      <c r="AF4" s="4">
        <v>669.60904879999998</v>
      </c>
      <c r="AG4" s="5">
        <f>SUM(L4:AF4)</f>
        <v>46640.817996899998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  <c r="H5" s="48">
        <v>1133715.213</v>
      </c>
      <c r="I5" s="72">
        <f t="shared" si="0"/>
        <v>1133.7152129999999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  <c r="H6" s="48">
        <v>0</v>
      </c>
      <c r="I6" s="72">
        <f t="shared" si="0"/>
        <v>0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  <c r="H7" s="48">
        <v>464036</v>
      </c>
      <c r="I7" s="72">
        <f t="shared" si="0"/>
        <v>464.036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  <c r="H8" s="48">
        <v>256571</v>
      </c>
      <c r="I8" s="72">
        <f t="shared" si="0"/>
        <v>256.57100000000003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H9" s="48">
        <v>0</v>
      </c>
      <c r="I9" s="72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H10" s="48">
        <v>513744.60019999999</v>
      </c>
      <c r="I10" s="72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H11" s="48">
        <v>0</v>
      </c>
      <c r="I11" s="72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H12" s="48">
        <v>0</v>
      </c>
      <c r="I12" s="72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H13" s="48">
        <v>0</v>
      </c>
      <c r="I13" s="72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H14" s="48">
        <v>0</v>
      </c>
      <c r="I14" s="72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H15" s="48">
        <v>0</v>
      </c>
      <c r="I15" s="72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H16" s="48">
        <v>0</v>
      </c>
      <c r="I16" s="72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H17" s="48">
        <v>0</v>
      </c>
      <c r="I17" s="72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H18" s="48">
        <v>393939.34409999999</v>
      </c>
      <c r="I18" s="72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H19" s="48">
        <v>697811.78700000001</v>
      </c>
      <c r="I19" s="72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H20" s="48">
        <v>448684.39980000001</v>
      </c>
      <c r="I20" s="72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H21" s="48">
        <v>0</v>
      </c>
      <c r="I21" s="71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H22" s="48">
        <v>0</v>
      </c>
      <c r="I22" s="71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12" t="s">
        <v>79</v>
      </c>
      <c r="B26" s="23">
        <f>SUM(L3:M3)</f>
        <v>25768.433999999997</v>
      </c>
      <c r="C26" s="24">
        <f>SUM(N3)</f>
        <v>273674.4123729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21" t="s">
        <v>80</v>
      </c>
      <c r="B27" s="23"/>
      <c r="C27" s="24"/>
      <c r="D27" s="23"/>
      <c r="E27" s="23"/>
      <c r="F27" s="22">
        <f>SUM(AB4:AF4)</f>
        <v>46640.817996899998</v>
      </c>
      <c r="G27" s="5">
        <f>SUM(B27:F27)</f>
        <v>46640.817996899998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9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3</v>
      </c>
      <c r="B31" s="5">
        <f>SUM(L2:M2)</f>
        <v>7412.277</v>
      </c>
      <c r="C31" s="4">
        <f>SUM(N2)</f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  <c r="G31" s="5">
        <f>SUM(B31:F31)</f>
        <v>913408.76399999997</v>
      </c>
    </row>
    <row r="32" spans="1:31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 x14ac:dyDescent="0.3">
      <c r="A33" t="s">
        <v>57</v>
      </c>
      <c r="B33">
        <v>0.17349999999999999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 x14ac:dyDescent="0.3">
      <c r="A34" s="12" t="s">
        <v>59</v>
      </c>
      <c r="B34" s="13">
        <f>B31*B32</f>
        <v>6144.7776329999997</v>
      </c>
      <c r="C34" s="13">
        <f t="shared" ref="C34:F34" si="1">C31*C32</f>
        <v>116420.22792528239</v>
      </c>
      <c r="D34" s="13">
        <f t="shared" si="1"/>
        <v>49068.346678000002</v>
      </c>
      <c r="E34" s="13">
        <f t="shared" si="1"/>
        <v>276880.29519863438</v>
      </c>
      <c r="F34" s="13">
        <f t="shared" si="1"/>
        <v>31305.571156424205</v>
      </c>
      <c r="G34" s="15">
        <f>SUM(B34:F34)</f>
        <v>479819.21859134099</v>
      </c>
      <c r="H34" s="77">
        <f>G34*(1-0.033)</f>
        <v>463985.18437782675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 t="s">
        <v>60</v>
      </c>
      <c r="B35" s="13">
        <f>B31*B33</f>
        <v>1286.0300594999999</v>
      </c>
      <c r="C35" s="13">
        <f t="shared" ref="C35:F35" si="2">C31*C33</f>
        <v>76328.493805317601</v>
      </c>
      <c r="D35" s="13">
        <f t="shared" si="2"/>
        <v>50260.290322000001</v>
      </c>
      <c r="E35" s="13">
        <f t="shared" si="2"/>
        <v>280222.91445656563</v>
      </c>
      <c r="F35" s="13">
        <f t="shared" si="2"/>
        <v>25510.347457775802</v>
      </c>
      <c r="G35" s="15">
        <f>SUM(B35:F35)</f>
        <v>433608.07610115904</v>
      </c>
      <c r="H35" s="77">
        <f>G35*(1-0.033)</f>
        <v>419299.00958982075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 x14ac:dyDescent="0.3">
      <c r="A37" t="s">
        <v>56</v>
      </c>
      <c r="G37" s="16">
        <f>SUM(G34:G36)</f>
        <v>913427.29469250003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 x14ac:dyDescent="0.3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 x14ac:dyDescent="0.3">
      <c r="A40" t="s">
        <v>61</v>
      </c>
      <c r="B40" s="19">
        <f>B46*M35/100</f>
        <v>7001.5175820217619</v>
      </c>
      <c r="C40" s="19">
        <f>C46*M35/100</f>
        <v>6327.20501992765</v>
      </c>
      <c r="D40" s="13">
        <f>D46*Q35/100</f>
        <v>6381.5509118734863</v>
      </c>
      <c r="E40" s="13">
        <f>E45*Q35/100</f>
        <v>0</v>
      </c>
      <c r="G40" s="75" t="s">
        <v>215</v>
      </c>
      <c r="H40" s="76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>SUM(N40:O40)</f>
        <v>7841</v>
      </c>
    </row>
    <row r="41" spans="1:17" x14ac:dyDescent="0.3">
      <c r="A41" t="s">
        <v>62</v>
      </c>
      <c r="B41" s="19">
        <f>B46*M36/100</f>
        <v>33759.065544083947</v>
      </c>
      <c r="C41" s="19">
        <f>C46*M36/100</f>
        <v>30507.747281399395</v>
      </c>
      <c r="D41" s="13">
        <f>D46*Q36/100</f>
        <v>23421.294184415252</v>
      </c>
      <c r="E41" s="13">
        <f>E45*Q36/100</f>
        <v>0</v>
      </c>
    </row>
    <row r="42" spans="1:17" x14ac:dyDescent="0.3">
      <c r="A42" t="s">
        <v>63</v>
      </c>
      <c r="B42" s="19">
        <f>B46*M37/100</f>
        <v>68497.364316422681</v>
      </c>
      <c r="C42" s="19">
        <f>C46*M37/100</f>
        <v>61900.418341809658</v>
      </c>
      <c r="D42" s="13">
        <f>D46*Q37/100</f>
        <v>42900.059533222804</v>
      </c>
      <c r="E42" s="13">
        <f>E45*Q37/100</f>
        <v>0</v>
      </c>
    </row>
    <row r="43" spans="1:17" x14ac:dyDescent="0.3">
      <c r="A43" t="s">
        <v>64</v>
      </c>
      <c r="B43" s="19">
        <f>B46*M38/100</f>
        <v>117679.35320551964</v>
      </c>
      <c r="C43" s="19">
        <f>C46*M38/100</f>
        <v>106345.71514263011</v>
      </c>
      <c r="D43" s="13">
        <f>D46*Q38/100</f>
        <v>61242.841997194235</v>
      </c>
      <c r="E43" s="13">
        <f>E45*Q38/100</f>
        <v>0</v>
      </c>
      <c r="K43" t="s">
        <v>77</v>
      </c>
    </row>
    <row r="44" spans="1:17" x14ac:dyDescent="0.3">
      <c r="A44" t="s">
        <v>65</v>
      </c>
      <c r="B44" s="19">
        <f>B46*M39/100</f>
        <v>237047.88372977872</v>
      </c>
      <c r="C44" s="19">
        <f>C46*M39/100</f>
        <v>214217.92380405392</v>
      </c>
      <c r="D44" s="13">
        <f>D46*Q39/100</f>
        <v>128031.95337329424</v>
      </c>
      <c r="E44" s="13">
        <f>E45*Q39/100</f>
        <v>0</v>
      </c>
    </row>
    <row r="45" spans="1:17" x14ac:dyDescent="0.3">
      <c r="A45" t="s">
        <v>67</v>
      </c>
      <c r="B45" s="15">
        <f>G34</f>
        <v>479819.21859134099</v>
      </c>
      <c r="C45" s="20">
        <f>G35</f>
        <v>433608.07610115904</v>
      </c>
      <c r="D45" s="22"/>
      <c r="E45" s="22">
        <v>0</v>
      </c>
    </row>
    <row r="46" spans="1:17" x14ac:dyDescent="0.3">
      <c r="A46" t="s">
        <v>214</v>
      </c>
      <c r="B46" s="74">
        <f>H34</f>
        <v>463985.18437782675</v>
      </c>
      <c r="C46" s="74">
        <f>H35</f>
        <v>419299.00958982075</v>
      </c>
      <c r="D46" s="73">
        <f>미시사회행렬초기!X26</f>
        <v>261977.7</v>
      </c>
    </row>
    <row r="47" spans="1:17" x14ac:dyDescent="0.3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f>미시사회행렬초기!Z29</f>
        <v>143097</v>
      </c>
      <c r="H47" s="14"/>
      <c r="I47" t="s">
        <v>181</v>
      </c>
    </row>
    <row r="48" spans="1:17" x14ac:dyDescent="0.3">
      <c r="B48" s="19"/>
    </row>
    <row r="49" spans="1:7" x14ac:dyDescent="0.3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미시사회행렬초기!Z33</f>
        <v>96355.684999999823</v>
      </c>
    </row>
    <row r="51" spans="1:7" x14ac:dyDescent="0.3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 x14ac:dyDescent="0.3">
      <c r="A52" t="s">
        <v>61</v>
      </c>
      <c r="B52" s="19">
        <f>B57*M35/100</f>
        <v>7240.452515017334</v>
      </c>
      <c r="C52" s="19">
        <f>C57*M35/100</f>
        <v>6543.1282522519641</v>
      </c>
      <c r="D52" s="13">
        <f>D58*Q47/100</f>
        <v>0</v>
      </c>
      <c r="E52" s="13">
        <f>E57*Q47/100</f>
        <v>0</v>
      </c>
      <c r="G52" s="75"/>
    </row>
    <row r="53" spans="1:7" x14ac:dyDescent="0.3">
      <c r="A53" t="s">
        <v>62</v>
      </c>
      <c r="B53" s="19">
        <f>B57*M36/100</f>
        <v>34911.132930800355</v>
      </c>
      <c r="C53" s="19">
        <f>C57*M36/100</f>
        <v>31548.859649844257</v>
      </c>
      <c r="D53" s="13">
        <f>D58*Q48/100</f>
        <v>0</v>
      </c>
      <c r="E53" s="13">
        <f>E57*Q48/100</f>
        <v>0</v>
      </c>
    </row>
    <row r="54" spans="1:7" x14ac:dyDescent="0.3">
      <c r="A54" t="s">
        <v>63</v>
      </c>
      <c r="B54" s="19">
        <f>B57*M37/100</f>
        <v>70834.916563001738</v>
      </c>
      <c r="C54" s="19">
        <f>C57*M37/100</f>
        <v>64012.842132171318</v>
      </c>
      <c r="D54" s="13">
        <f>D58*Q49/100</f>
        <v>0</v>
      </c>
      <c r="E54" s="13">
        <f>E57*Q49/100</f>
        <v>0</v>
      </c>
    </row>
    <row r="55" spans="1:7" x14ac:dyDescent="0.3">
      <c r="A55" t="s">
        <v>64</v>
      </c>
      <c r="B55" s="19">
        <f>B57*M38/100</f>
        <v>121695.29804086829</v>
      </c>
      <c r="C55" s="19">
        <f>C57*M38/100</f>
        <v>109974.88639361957</v>
      </c>
      <c r="D55" s="13">
        <f>D58*Q50/100</f>
        <v>0</v>
      </c>
      <c r="E55" s="13">
        <f>E57*Q50/100</f>
        <v>0</v>
      </c>
    </row>
    <row r="56" spans="1:7" x14ac:dyDescent="0.3">
      <c r="A56" t="s">
        <v>65</v>
      </c>
      <c r="B56" s="19">
        <f>B57*M39/100</f>
        <v>245137.41854165326</v>
      </c>
      <c r="C56" s="19">
        <f>C57*M39/100</f>
        <v>221528.35967327192</v>
      </c>
      <c r="D56" s="13">
        <f>D58*Q51/100</f>
        <v>0</v>
      </c>
      <c r="E56" s="13">
        <f>E57*Q51/100</f>
        <v>0</v>
      </c>
    </row>
    <row r="57" spans="1:7" x14ac:dyDescent="0.3">
      <c r="A57" t="s">
        <v>67</v>
      </c>
      <c r="B57" s="15">
        <f>G34</f>
        <v>479819.21859134099</v>
      </c>
      <c r="C57" s="20">
        <f>G35</f>
        <v>433608.07610115904</v>
      </c>
      <c r="D57" s="22"/>
      <c r="E57" s="22">
        <v>0</v>
      </c>
    </row>
    <row r="58" spans="1:7" x14ac:dyDescent="0.3">
      <c r="B58" s="74"/>
      <c r="C58" s="74"/>
      <c r="D58" s="73"/>
    </row>
    <row r="59" spans="1:7" x14ac:dyDescent="0.3">
      <c r="B59" s="19"/>
      <c r="C59" s="19"/>
      <c r="D59" s="19"/>
      <c r="E59" s="19"/>
      <c r="F59" s="19"/>
      <c r="G59" s="44"/>
    </row>
    <row r="60" spans="1:7" x14ac:dyDescent="0.3">
      <c r="B60" s="19"/>
    </row>
    <row r="61" spans="1:7" x14ac:dyDescent="0.3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"/>
  <sheetViews>
    <sheetView topLeftCell="A28" zoomScaleNormal="100" workbookViewId="0">
      <selection activeCell="C57" sqref="C57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2.21875" bestFit="1" customWidth="1"/>
    <col min="9" max="9" width="12.21875" customWidth="1"/>
    <col min="12" max="12" width="12.44140625" bestFit="1" customWidth="1"/>
    <col min="13" max="13" width="11.109375" bestFit="1" customWidth="1"/>
    <col min="19" max="19" width="8.5546875" bestFit="1" customWidth="1"/>
    <col min="34" max="34" width="9.5546875" bestFit="1" customWidth="1"/>
  </cols>
  <sheetData>
    <row r="1" spans="1:34" x14ac:dyDescent="0.3">
      <c r="B1" s="12" t="s">
        <v>280</v>
      </c>
      <c r="C1" s="12" t="s">
        <v>234</v>
      </c>
      <c r="D1" s="12" t="s">
        <v>236</v>
      </c>
      <c r="E1" s="12" t="s">
        <v>238</v>
      </c>
      <c r="F1" s="12" t="s">
        <v>240</v>
      </c>
      <c r="G1" t="s">
        <v>9</v>
      </c>
      <c r="H1" s="78" t="s">
        <v>216</v>
      </c>
      <c r="I1" s="78" t="s">
        <v>216</v>
      </c>
      <c r="J1" t="s">
        <v>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4" x14ac:dyDescent="0.3">
      <c r="A2" s="1" t="s">
        <v>19</v>
      </c>
      <c r="B2" s="25">
        <f>$N$35*J2/100</f>
        <v>270.07313639001745</v>
      </c>
      <c r="C2" s="25">
        <f>$N$36*J2/100</f>
        <v>1302.2057869994196</v>
      </c>
      <c r="D2" s="25">
        <f>$N$37*J2/100</f>
        <v>2642.1840406268138</v>
      </c>
      <c r="E2" s="25">
        <f>$N$38*J2/100</f>
        <v>4539.3061770168315</v>
      </c>
      <c r="F2" s="25">
        <f>$N$39*J2/100</f>
        <v>9143.769858966918</v>
      </c>
      <c r="G2" s="4">
        <v>384.49400000000003</v>
      </c>
      <c r="H2" s="48">
        <v>-72564</v>
      </c>
      <c r="I2" s="72">
        <f>H2/1000</f>
        <v>-72.563999999999993</v>
      </c>
      <c r="J2" s="4">
        <v>17897.539000000001</v>
      </c>
      <c r="K2" s="4"/>
      <c r="L2" s="1" t="s">
        <v>3</v>
      </c>
      <c r="M2" s="4">
        <v>6547.0230000000001</v>
      </c>
      <c r="N2" s="4">
        <v>865.25400000000002</v>
      </c>
      <c r="O2" s="4">
        <v>192748.72173059999</v>
      </c>
      <c r="P2" s="4">
        <v>49979.141392999998</v>
      </c>
      <c r="Q2" s="4">
        <v>12814.433000000001</v>
      </c>
      <c r="R2" s="4">
        <v>86514.203999999998</v>
      </c>
      <c r="S2" s="4">
        <v>32944.266000000003</v>
      </c>
      <c r="T2" s="4">
        <v>34557.43</v>
      </c>
      <c r="U2" s="4">
        <v>23952.216407</v>
      </c>
      <c r="V2" s="4">
        <v>44478.012999999999</v>
      </c>
      <c r="W2" s="4">
        <v>16034.514999999999</v>
      </c>
      <c r="X2" s="4">
        <v>107585.29276160001</v>
      </c>
      <c r="Y2" s="4">
        <v>76987.937000000005</v>
      </c>
      <c r="Z2" s="4">
        <v>78542.589000000007</v>
      </c>
      <c r="AA2" s="4">
        <v>64861.093999999997</v>
      </c>
      <c r="AB2" s="4">
        <v>27180.7150936</v>
      </c>
      <c r="AC2" s="4">
        <v>3881.3762694000002</v>
      </c>
      <c r="AD2" s="4">
        <v>30762.605607000001</v>
      </c>
      <c r="AE2" s="4">
        <v>10553.842593000001</v>
      </c>
      <c r="AF2" s="4">
        <v>10545.8472384</v>
      </c>
      <c r="AG2" s="4">
        <v>1072.2469063999999</v>
      </c>
      <c r="AH2" s="5">
        <f>SUM(M2:AG2)</f>
        <v>913408.76400000008</v>
      </c>
    </row>
    <row r="3" spans="1:34" x14ac:dyDescent="0.3">
      <c r="A3" s="1" t="s">
        <v>20</v>
      </c>
      <c r="B3" s="25">
        <f t="shared" ref="B3:B22" si="0">$N$35*J3/100</f>
        <v>0.23048403946604756</v>
      </c>
      <c r="C3" s="25">
        <f t="shared" ref="C3:C22" si="1">$N$36*J3/100</f>
        <v>1.1113198965862923</v>
      </c>
      <c r="D3" s="25">
        <f t="shared" ref="D3:D22" si="2">$N$37*J3/100</f>
        <v>2.2548753231678358</v>
      </c>
      <c r="E3" s="25">
        <f t="shared" ref="E3:E22" si="3">$N$38*J3/100</f>
        <v>3.8739048171793389</v>
      </c>
      <c r="F3" s="25">
        <f t="shared" ref="F3:F21" si="4">$N$39*J3/100</f>
        <v>7.8034159236004834</v>
      </c>
      <c r="G3" s="4">
        <v>1989.682</v>
      </c>
      <c r="H3" s="48">
        <v>1989682</v>
      </c>
      <c r="I3" s="72">
        <f t="shared" ref="I3:I22" si="5">H3/1000</f>
        <v>1989.682</v>
      </c>
      <c r="J3" s="4">
        <v>15.273999999999999</v>
      </c>
      <c r="K3" s="89"/>
      <c r="L3" t="s">
        <v>4</v>
      </c>
      <c r="M3" s="4">
        <v>24582.852999999999</v>
      </c>
      <c r="N3" s="4">
        <v>1185.5809999999999</v>
      </c>
      <c r="O3" s="4">
        <v>273674.4123729</v>
      </c>
      <c r="P3" s="4">
        <v>35880.453848000005</v>
      </c>
      <c r="Q3" s="4">
        <v>24118.968999999997</v>
      </c>
      <c r="R3" s="4">
        <v>16010.707</v>
      </c>
      <c r="S3" s="4">
        <v>27171.904000000002</v>
      </c>
      <c r="T3" s="4">
        <v>13954.298999999999</v>
      </c>
      <c r="U3" s="4">
        <v>34616.607305799997</v>
      </c>
      <c r="V3" s="4">
        <v>56970.512999999999</v>
      </c>
      <c r="W3" s="4">
        <v>119791.432</v>
      </c>
      <c r="X3" s="4">
        <v>52901.981525199997</v>
      </c>
      <c r="Y3" s="4">
        <v>44826.656999999999</v>
      </c>
      <c r="Z3" s="4">
        <v>13838.985000000001</v>
      </c>
      <c r="AA3" s="4">
        <v>23973.508999999998</v>
      </c>
      <c r="AB3" s="4">
        <v>16533.329951199998</v>
      </c>
      <c r="AH3" s="5">
        <f>SUM(M3:AG3)</f>
        <v>780032.19400309992</v>
      </c>
    </row>
    <row r="4" spans="1:34" x14ac:dyDescent="0.3">
      <c r="A4" s="1" t="s">
        <v>21</v>
      </c>
      <c r="B4" s="25">
        <f t="shared" si="0"/>
        <v>3225.8931406120719</v>
      </c>
      <c r="C4" s="25">
        <f t="shared" si="1"/>
        <v>15554.219024140022</v>
      </c>
      <c r="D4" s="25">
        <f t="shared" si="2"/>
        <v>31559.611914099914</v>
      </c>
      <c r="E4" s="25">
        <f t="shared" si="3"/>
        <v>54219.819324902914</v>
      </c>
      <c r="F4" s="25">
        <f t="shared" si="4"/>
        <v>109217.91356834507</v>
      </c>
      <c r="G4" s="4">
        <v>163215.9600017</v>
      </c>
      <c r="H4" s="48">
        <v>18168096.655900002</v>
      </c>
      <c r="I4" s="72">
        <f t="shared" si="5"/>
        <v>18168.096655900001</v>
      </c>
      <c r="J4" s="4">
        <v>213777.45697209999</v>
      </c>
      <c r="K4" s="4"/>
      <c r="L4" s="62" t="s">
        <v>199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>
        <v>3704.7476271</v>
      </c>
      <c r="AD4" s="4">
        <v>22084.738151999998</v>
      </c>
      <c r="AE4" s="4">
        <v>13140.2856942</v>
      </c>
      <c r="AF4" s="4">
        <v>7041.4374747999991</v>
      </c>
      <c r="AG4" s="4">
        <v>669.60904879999998</v>
      </c>
      <c r="AH4" s="5">
        <f>SUM(M4:AG4)</f>
        <v>46640.817996899998</v>
      </c>
    </row>
    <row r="5" spans="1:34" x14ac:dyDescent="0.3">
      <c r="A5" s="1" t="s">
        <v>22</v>
      </c>
      <c r="B5" s="25">
        <f t="shared" si="0"/>
        <v>851.56255216715033</v>
      </c>
      <c r="C5" s="25">
        <f t="shared" si="1"/>
        <v>4105.960697337413</v>
      </c>
      <c r="D5" s="25">
        <f t="shared" si="2"/>
        <v>8331.0210523205824</v>
      </c>
      <c r="E5" s="25">
        <f t="shared" si="3"/>
        <v>14312.801357578644</v>
      </c>
      <c r="F5" s="25">
        <f t="shared" si="4"/>
        <v>28831.049624596209</v>
      </c>
      <c r="G5" s="4">
        <v>9516.1853579999988</v>
      </c>
      <c r="H5" s="48">
        <v>1133715.213</v>
      </c>
      <c r="I5" s="72">
        <f t="shared" si="5"/>
        <v>1133.7152129999999</v>
      </c>
      <c r="J5" s="4">
        <v>56432.395283999998</v>
      </c>
      <c r="K5" s="89"/>
    </row>
    <row r="6" spans="1:34" x14ac:dyDescent="0.3">
      <c r="A6" s="1" t="s">
        <v>23</v>
      </c>
      <c r="B6" s="25">
        <f t="shared" si="0"/>
        <v>341.35531282646548</v>
      </c>
      <c r="C6" s="25">
        <f t="shared" si="1"/>
        <v>1645.9055118450904</v>
      </c>
      <c r="D6" s="25">
        <f t="shared" si="2"/>
        <v>3339.5530254840919</v>
      </c>
      <c r="E6" s="25">
        <f t="shared" si="3"/>
        <v>5737.395065583285</v>
      </c>
      <c r="F6" s="25">
        <f t="shared" si="4"/>
        <v>11557.145084261065</v>
      </c>
      <c r="G6" s="4">
        <v>0</v>
      </c>
      <c r="H6" s="48">
        <v>0</v>
      </c>
      <c r="I6" s="72">
        <f t="shared" si="5"/>
        <v>0</v>
      </c>
      <c r="J6" s="4">
        <v>22621.353999999999</v>
      </c>
      <c r="K6" s="89"/>
      <c r="L6" s="12" t="s">
        <v>263</v>
      </c>
      <c r="M6" s="105">
        <v>91.1</v>
      </c>
      <c r="N6" s="105">
        <v>74.2</v>
      </c>
      <c r="O6" s="105">
        <v>60.4</v>
      </c>
      <c r="P6" s="105">
        <v>59</v>
      </c>
      <c r="Q6" s="105">
        <v>23</v>
      </c>
      <c r="R6" s="105">
        <v>69.599999999999994</v>
      </c>
      <c r="S6" s="105">
        <v>73.8</v>
      </c>
      <c r="T6" s="105">
        <v>78.099999999999994</v>
      </c>
      <c r="U6" s="105">
        <v>18.2</v>
      </c>
      <c r="V6" s="105">
        <v>40.200000000000003</v>
      </c>
      <c r="W6" s="105">
        <v>40.200000000000003</v>
      </c>
      <c r="X6" s="105">
        <v>69.3</v>
      </c>
      <c r="Y6" s="105">
        <v>30.5</v>
      </c>
      <c r="Z6" s="105">
        <v>30.5</v>
      </c>
      <c r="AA6" s="105">
        <v>30.5</v>
      </c>
      <c r="AB6" s="105">
        <v>61.7</v>
      </c>
      <c r="AC6" s="107">
        <v>60.4</v>
      </c>
      <c r="AD6" s="107">
        <v>59</v>
      </c>
      <c r="AE6" s="107">
        <v>61.7</v>
      </c>
      <c r="AF6" s="107">
        <v>16.8</v>
      </c>
      <c r="AG6" s="107">
        <v>61.7</v>
      </c>
    </row>
    <row r="7" spans="1:34" x14ac:dyDescent="0.3">
      <c r="A7" s="1" t="s">
        <v>24</v>
      </c>
      <c r="B7" s="25">
        <f t="shared" si="0"/>
        <v>0</v>
      </c>
      <c r="C7" s="25">
        <f t="shared" si="1"/>
        <v>0</v>
      </c>
      <c r="D7" s="25">
        <f t="shared" si="2"/>
        <v>0</v>
      </c>
      <c r="E7" s="25">
        <f t="shared" si="3"/>
        <v>0</v>
      </c>
      <c r="F7" s="25">
        <f t="shared" si="4"/>
        <v>0</v>
      </c>
      <c r="G7" s="4">
        <v>260546.71799999999</v>
      </c>
      <c r="H7" s="48">
        <v>464036</v>
      </c>
      <c r="I7" s="72">
        <f t="shared" si="5"/>
        <v>464.036</v>
      </c>
      <c r="J7" s="4">
        <v>0</v>
      </c>
      <c r="K7" s="89"/>
      <c r="L7" s="12" t="s">
        <v>264</v>
      </c>
      <c r="M7" s="106">
        <v>8.9</v>
      </c>
      <c r="N7" s="106">
        <v>25.8</v>
      </c>
      <c r="O7" s="105">
        <v>39.6</v>
      </c>
      <c r="P7" s="106">
        <v>41</v>
      </c>
      <c r="Q7" s="106">
        <v>77</v>
      </c>
      <c r="R7" s="106">
        <v>30.4</v>
      </c>
      <c r="S7" s="106">
        <v>26.2</v>
      </c>
      <c r="T7" s="105">
        <v>21.9</v>
      </c>
      <c r="U7" s="105">
        <v>81.8</v>
      </c>
      <c r="V7" s="105">
        <v>59.8</v>
      </c>
      <c r="W7" s="105">
        <v>59.8</v>
      </c>
      <c r="X7" s="105">
        <v>30.7</v>
      </c>
      <c r="Y7" s="105">
        <v>69.5</v>
      </c>
      <c r="Z7" s="105">
        <v>69.5</v>
      </c>
      <c r="AA7" s="105">
        <v>69.5</v>
      </c>
      <c r="AB7" s="105">
        <v>38.299999999999997</v>
      </c>
      <c r="AC7" s="107">
        <v>39.6</v>
      </c>
      <c r="AD7" s="107">
        <v>41</v>
      </c>
      <c r="AE7" s="107">
        <v>38.299999999999997</v>
      </c>
      <c r="AF7" s="107">
        <v>83.2</v>
      </c>
      <c r="AG7" s="107">
        <v>38.299999999999997</v>
      </c>
    </row>
    <row r="8" spans="1:34" x14ac:dyDescent="0.3">
      <c r="A8" s="1" t="s">
        <v>25</v>
      </c>
      <c r="B8" s="25">
        <f t="shared" si="0"/>
        <v>458.20438305281488</v>
      </c>
      <c r="C8" s="25">
        <f t="shared" si="1"/>
        <v>2209.3141406637469</v>
      </c>
      <c r="D8" s="25">
        <f t="shared" si="2"/>
        <v>4482.7128104257899</v>
      </c>
      <c r="E8" s="25">
        <f t="shared" si="3"/>
        <v>7701.3582843876966</v>
      </c>
      <c r="F8" s="25">
        <f t="shared" si="4"/>
        <v>15513.262381469949</v>
      </c>
      <c r="G8" s="4">
        <v>683.36199999999997</v>
      </c>
      <c r="H8" s="48">
        <v>256571</v>
      </c>
      <c r="I8" s="72">
        <f t="shared" si="5"/>
        <v>256.57100000000003</v>
      </c>
      <c r="J8" s="4">
        <v>30364.851999999999</v>
      </c>
      <c r="K8" s="89"/>
      <c r="L8" s="12" t="s">
        <v>59</v>
      </c>
      <c r="M8" s="11">
        <f>M2*M6/100</f>
        <v>5964.3379530000002</v>
      </c>
      <c r="N8" s="11">
        <f>N2*N6/100</f>
        <v>642.0184680000001</v>
      </c>
      <c r="O8" s="11">
        <f t="shared" ref="N8:AG8" si="6">O2*O6/100</f>
        <v>116420.22792528239</v>
      </c>
      <c r="P8" s="11">
        <f t="shared" si="6"/>
        <v>29487.693421870001</v>
      </c>
      <c r="Q8" s="11">
        <f t="shared" si="6"/>
        <v>2947.3195900000005</v>
      </c>
      <c r="R8" s="11">
        <f t="shared" si="6"/>
        <v>60213.885983999993</v>
      </c>
      <c r="S8" s="11">
        <f t="shared" si="6"/>
        <v>24312.868308000001</v>
      </c>
      <c r="T8" s="11">
        <f t="shared" si="6"/>
        <v>26989.35283</v>
      </c>
      <c r="U8" s="11">
        <f t="shared" si="6"/>
        <v>4359.3033860739997</v>
      </c>
      <c r="V8" s="11">
        <f t="shared" si="6"/>
        <v>17880.161226</v>
      </c>
      <c r="W8" s="11">
        <f t="shared" si="6"/>
        <v>6445.8750300000002</v>
      </c>
      <c r="X8" s="11">
        <f t="shared" si="6"/>
        <v>74556.607883788805</v>
      </c>
      <c r="Y8" s="11">
        <f t="shared" si="6"/>
        <v>23481.320785000004</v>
      </c>
      <c r="Z8" s="11">
        <f t="shared" si="6"/>
        <v>23955.489645000001</v>
      </c>
      <c r="AA8" s="11">
        <f t="shared" si="6"/>
        <v>19782.633669999999</v>
      </c>
      <c r="AB8" s="11">
        <f t="shared" si="6"/>
        <v>16770.501212751202</v>
      </c>
      <c r="AC8" s="11">
        <f>AC2*AC6/100</f>
        <v>2344.3512667176001</v>
      </c>
      <c r="AD8" s="11">
        <f t="shared" si="6"/>
        <v>18149.93730813</v>
      </c>
      <c r="AE8" s="11">
        <f t="shared" si="6"/>
        <v>6511.7208798810016</v>
      </c>
      <c r="AF8" s="11">
        <f t="shared" si="6"/>
        <v>1771.7023360512001</v>
      </c>
      <c r="AG8" s="11">
        <f t="shared" si="6"/>
        <v>661.57634124879996</v>
      </c>
      <c r="AH8" s="14">
        <f>SUM(M8:AG8)</f>
        <v>483648.88545079506</v>
      </c>
    </row>
    <row r="9" spans="1:34" x14ac:dyDescent="0.3">
      <c r="A9" s="1" t="s">
        <v>26</v>
      </c>
      <c r="B9" s="25">
        <f t="shared" si="0"/>
        <v>1564.7224631456763</v>
      </c>
      <c r="C9" s="25">
        <f t="shared" si="1"/>
        <v>7544.5883799926123</v>
      </c>
      <c r="D9" s="25">
        <f t="shared" si="2"/>
        <v>15308.019062523083</v>
      </c>
      <c r="E9" s="25">
        <f t="shared" si="3"/>
        <v>26299.373707486946</v>
      </c>
      <c r="F9" s="25">
        <f t="shared" si="4"/>
        <v>52976.25038685168</v>
      </c>
      <c r="G9" s="4">
        <v>0</v>
      </c>
      <c r="H9" s="48">
        <v>0</v>
      </c>
      <c r="I9" s="72">
        <f t="shared" si="5"/>
        <v>0</v>
      </c>
      <c r="J9" s="4">
        <v>103692.954</v>
      </c>
      <c r="K9" s="89"/>
      <c r="L9" s="12" t="s">
        <v>60</v>
      </c>
      <c r="M9" s="108">
        <f>M2*M7/100</f>
        <v>582.68504700000005</v>
      </c>
      <c r="N9" s="108">
        <f t="shared" ref="N9:AG9" si="7">N2*N7/100</f>
        <v>223.23553200000003</v>
      </c>
      <c r="O9" s="108">
        <f t="shared" si="7"/>
        <v>76328.493805317601</v>
      </c>
      <c r="P9" s="108">
        <f t="shared" si="7"/>
        <v>20491.447971130001</v>
      </c>
      <c r="Q9" s="108">
        <f t="shared" si="7"/>
        <v>9867.1134099999999</v>
      </c>
      <c r="R9" s="108">
        <f t="shared" si="7"/>
        <v>26300.318015999997</v>
      </c>
      <c r="S9" s="108">
        <f t="shared" si="7"/>
        <v>8631.3976920000005</v>
      </c>
      <c r="T9" s="108">
        <f t="shared" si="7"/>
        <v>7568.0771699999996</v>
      </c>
      <c r="U9" s="108">
        <f t="shared" si="7"/>
        <v>19592.913020926</v>
      </c>
      <c r="V9" s="108">
        <f t="shared" si="7"/>
        <v>26597.851773999999</v>
      </c>
      <c r="W9" s="108">
        <f t="shared" si="7"/>
        <v>9588.6399700000002</v>
      </c>
      <c r="X9" s="108">
        <f t="shared" si="7"/>
        <v>33028.684877811203</v>
      </c>
      <c r="Y9" s="108">
        <f t="shared" si="7"/>
        <v>53506.616215000002</v>
      </c>
      <c r="Z9" s="108">
        <f t="shared" si="7"/>
        <v>54587.099355000006</v>
      </c>
      <c r="AA9" s="108">
        <f t="shared" si="7"/>
        <v>45078.460330000002</v>
      </c>
      <c r="AB9" s="108">
        <f t="shared" si="7"/>
        <v>10410.2138808488</v>
      </c>
      <c r="AC9" s="108">
        <f t="shared" si="7"/>
        <v>1537.0250026824003</v>
      </c>
      <c r="AD9" s="108">
        <f t="shared" si="7"/>
        <v>12612.668298870001</v>
      </c>
      <c r="AE9" s="108">
        <f t="shared" si="7"/>
        <v>4042.1217131190001</v>
      </c>
      <c r="AF9" s="108">
        <f t="shared" si="7"/>
        <v>8774.1449023488003</v>
      </c>
      <c r="AG9" s="108">
        <f t="shared" si="7"/>
        <v>410.67056515119992</v>
      </c>
      <c r="AH9" s="14">
        <f>SUM(M9:AG9)</f>
        <v>429759.87854920502</v>
      </c>
    </row>
    <row r="10" spans="1:34" x14ac:dyDescent="0.3">
      <c r="A10" s="1" t="s">
        <v>27</v>
      </c>
      <c r="B10" s="25">
        <f t="shared" si="0"/>
        <v>497.77873864979688</v>
      </c>
      <c r="C10" s="25">
        <f t="shared" si="1"/>
        <v>2400.1289531401039</v>
      </c>
      <c r="D10" s="25">
        <f t="shared" si="2"/>
        <v>4869.8773102871728</v>
      </c>
      <c r="E10" s="25">
        <f t="shared" si="3"/>
        <v>8366.5118765369716</v>
      </c>
      <c r="F10" s="25">
        <f t="shared" si="4"/>
        <v>16853.117224985952</v>
      </c>
      <c r="G10" s="4">
        <v>19334.0520894</v>
      </c>
      <c r="H10" s="48">
        <v>513744.60019999999</v>
      </c>
      <c r="I10" s="72">
        <f t="shared" si="5"/>
        <v>513.74460020000004</v>
      </c>
      <c r="J10" s="4">
        <v>32987.4141036</v>
      </c>
      <c r="K10" s="89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4" x14ac:dyDescent="0.3">
      <c r="A11" s="1" t="s">
        <v>28</v>
      </c>
      <c r="B11" s="25">
        <f t="shared" si="0"/>
        <v>1118.3989483459084</v>
      </c>
      <c r="C11" s="25">
        <f t="shared" si="1"/>
        <v>5392.5599642272982</v>
      </c>
      <c r="D11" s="25">
        <f t="shared" si="2"/>
        <v>10941.53936178969</v>
      </c>
      <c r="E11" s="25">
        <f t="shared" si="3"/>
        <v>18797.705401044692</v>
      </c>
      <c r="F11" s="25">
        <f t="shared" si="4"/>
        <v>37865.234324592406</v>
      </c>
      <c r="G11" s="4">
        <v>0</v>
      </c>
      <c r="H11" s="48">
        <v>0</v>
      </c>
      <c r="I11" s="72">
        <f t="shared" si="5"/>
        <v>0</v>
      </c>
      <c r="J11" s="4">
        <v>74115.437999999995</v>
      </c>
      <c r="K11" s="89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4" x14ac:dyDescent="0.3">
      <c r="A12" s="1" t="s">
        <v>29</v>
      </c>
      <c r="B12" s="25">
        <f t="shared" si="0"/>
        <v>1991.4282159024958</v>
      </c>
      <c r="C12" s="25">
        <f t="shared" si="1"/>
        <v>9602.0262577955982</v>
      </c>
      <c r="D12" s="25">
        <f t="shared" si="2"/>
        <v>19482.573944388751</v>
      </c>
      <c r="E12" s="25">
        <f t="shared" si="3"/>
        <v>33471.312705745797</v>
      </c>
      <c r="F12" s="25">
        <f t="shared" si="4"/>
        <v>67423.07487616736</v>
      </c>
      <c r="G12" s="4">
        <v>31020.904999999999</v>
      </c>
      <c r="H12" s="48">
        <v>0</v>
      </c>
      <c r="I12" s="72">
        <f t="shared" si="5"/>
        <v>0</v>
      </c>
      <c r="J12" s="4">
        <v>131970.416</v>
      </c>
      <c r="K12" s="89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4" x14ac:dyDescent="0.3">
      <c r="A13" s="1" t="s">
        <v>30</v>
      </c>
      <c r="B13" s="25">
        <f t="shared" si="0"/>
        <v>143.51663420266976</v>
      </c>
      <c r="C13" s="25">
        <f t="shared" si="1"/>
        <v>691.99104393525033</v>
      </c>
      <c r="D13" s="25">
        <f t="shared" si="2"/>
        <v>1404.0543444023426</v>
      </c>
      <c r="E13" s="25">
        <f t="shared" si="3"/>
        <v>2412.1834287141037</v>
      </c>
      <c r="F13" s="25">
        <f t="shared" si="4"/>
        <v>4858.9914999456341</v>
      </c>
      <c r="G13" s="4">
        <v>78578.603039599999</v>
      </c>
      <c r="H13" s="48">
        <v>0</v>
      </c>
      <c r="I13" s="72">
        <f t="shared" si="5"/>
        <v>0</v>
      </c>
      <c r="J13" s="4">
        <v>9510.7369512000005</v>
      </c>
      <c r="K13" s="89"/>
      <c r="R13" s="5"/>
      <c r="S13" s="5"/>
      <c r="T13" s="5"/>
      <c r="U13" s="5"/>
      <c r="V13" s="5"/>
      <c r="Y13" t="s">
        <v>260</v>
      </c>
      <c r="AA13" s="100" t="s">
        <v>244</v>
      </c>
      <c r="AB13" s="100"/>
      <c r="AC13" s="5"/>
      <c r="AD13" s="5"/>
      <c r="AE13" s="5"/>
      <c r="AF13" s="5"/>
    </row>
    <row r="14" spans="1:34" x14ac:dyDescent="0.3">
      <c r="A14" s="1" t="s">
        <v>31</v>
      </c>
      <c r="B14" s="25">
        <f t="shared" si="0"/>
        <v>35.358294834590829</v>
      </c>
      <c r="C14" s="25">
        <f t="shared" si="1"/>
        <v>170.48632369545717</v>
      </c>
      <c r="D14" s="25">
        <f t="shared" si="2"/>
        <v>345.91786345169623</v>
      </c>
      <c r="E14" s="25">
        <f t="shared" si="3"/>
        <v>594.29134010446899</v>
      </c>
      <c r="F14" s="25">
        <f t="shared" si="4"/>
        <v>1197.1131779137866</v>
      </c>
      <c r="G14" s="4">
        <v>0</v>
      </c>
      <c r="H14" s="48">
        <v>0</v>
      </c>
      <c r="I14" s="72">
        <f t="shared" si="5"/>
        <v>0</v>
      </c>
      <c r="J14" s="4">
        <v>2343.1669999999999</v>
      </c>
      <c r="K14" s="89"/>
      <c r="M14" s="12" t="s">
        <v>59</v>
      </c>
      <c r="N14" s="12" t="s">
        <v>60</v>
      </c>
      <c r="O14" s="12" t="s">
        <v>79</v>
      </c>
      <c r="P14" s="21" t="s">
        <v>80</v>
      </c>
      <c r="R14" s="5"/>
      <c r="S14" s="5"/>
      <c r="T14" s="5"/>
      <c r="U14" s="5"/>
      <c r="V14" s="5"/>
      <c r="Y14" t="s">
        <v>265</v>
      </c>
      <c r="Z14" t="s">
        <v>261</v>
      </c>
      <c r="AA14" s="100" t="s">
        <v>245</v>
      </c>
      <c r="AB14" s="100" t="s">
        <v>266</v>
      </c>
      <c r="AC14" s="5"/>
      <c r="AD14" s="5"/>
      <c r="AE14" s="5"/>
      <c r="AF14" s="5"/>
    </row>
    <row r="15" spans="1:34" x14ac:dyDescent="0.3">
      <c r="A15" s="1" t="s">
        <v>32</v>
      </c>
      <c r="B15" s="25">
        <f t="shared" si="0"/>
        <v>893.50327916424851</v>
      </c>
      <c r="C15" s="25">
        <f t="shared" si="1"/>
        <v>4308.1853914947496</v>
      </c>
      <c r="D15" s="25">
        <f t="shared" si="2"/>
        <v>8741.3362765789061</v>
      </c>
      <c r="E15" s="25">
        <f t="shared" si="3"/>
        <v>15017.728192106793</v>
      </c>
      <c r="F15" s="25">
        <f t="shared" si="4"/>
        <v>30251.021860655303</v>
      </c>
      <c r="G15" s="4">
        <v>0</v>
      </c>
      <c r="H15" s="48">
        <v>0</v>
      </c>
      <c r="I15" s="72">
        <f t="shared" si="5"/>
        <v>0</v>
      </c>
      <c r="J15" s="4">
        <v>59211.775000000001</v>
      </c>
      <c r="K15" s="89"/>
      <c r="L15" t="s">
        <v>61</v>
      </c>
      <c r="M15" s="19" t="e">
        <f>M20*#REF!/100</f>
        <v>#REF!</v>
      </c>
      <c r="N15" s="19" t="e">
        <f>N20*#REF!/100</f>
        <v>#REF!</v>
      </c>
      <c r="O15" s="13" t="e">
        <f>#REF!*AB3/100</f>
        <v>#REF!</v>
      </c>
      <c r="P15" s="13">
        <f>P20*AB3/100</f>
        <v>0</v>
      </c>
      <c r="R15" s="5"/>
      <c r="S15" s="5"/>
      <c r="T15" s="5"/>
      <c r="U15" s="5"/>
      <c r="V15" s="5"/>
      <c r="X15" t="s">
        <v>262</v>
      </c>
      <c r="Y15">
        <v>91.1</v>
      </c>
      <c r="Z15">
        <v>8.9</v>
      </c>
      <c r="AA15" s="100"/>
      <c r="AB15" s="100"/>
      <c r="AC15" s="5"/>
      <c r="AD15" s="5"/>
      <c r="AE15" s="5"/>
      <c r="AF15" s="5"/>
    </row>
    <row r="16" spans="1:34" x14ac:dyDescent="0.3">
      <c r="A16" s="1" t="s">
        <v>33</v>
      </c>
      <c r="B16" s="25">
        <f t="shared" si="0"/>
        <v>883.70269762042949</v>
      </c>
      <c r="C16" s="25">
        <f t="shared" si="1"/>
        <v>4260.930139925078</v>
      </c>
      <c r="D16" s="25">
        <f t="shared" si="2"/>
        <v>8645.4550627341323</v>
      </c>
      <c r="E16" s="25">
        <f t="shared" si="3"/>
        <v>14853.003033081837</v>
      </c>
      <c r="F16" s="25">
        <f t="shared" si="4"/>
        <v>29919.207066638526</v>
      </c>
      <c r="G16" s="4">
        <v>0</v>
      </c>
      <c r="H16" s="48">
        <v>0</v>
      </c>
      <c r="I16" s="72">
        <f t="shared" si="5"/>
        <v>0</v>
      </c>
      <c r="J16" s="4">
        <v>58562.298000000003</v>
      </c>
      <c r="K16" s="89"/>
      <c r="L16" t="s">
        <v>62</v>
      </c>
      <c r="M16" s="19" t="e">
        <f>M20*#REF!/100</f>
        <v>#REF!</v>
      </c>
      <c r="N16" s="19" t="e">
        <f>N20*#REF!/100</f>
        <v>#REF!</v>
      </c>
      <c r="O16" s="13" t="e">
        <f>#REF!*AB4/100</f>
        <v>#REF!</v>
      </c>
      <c r="P16" s="13">
        <f>P20*AB4/100</f>
        <v>0</v>
      </c>
      <c r="Q16" s="5"/>
      <c r="R16" s="5"/>
      <c r="S16" s="5"/>
      <c r="T16" s="5"/>
      <c r="U16" s="5"/>
      <c r="V16" s="5"/>
      <c r="W16" t="s">
        <v>267</v>
      </c>
      <c r="X16" t="s">
        <v>268</v>
      </c>
      <c r="Y16">
        <v>74.2</v>
      </c>
      <c r="Z16">
        <v>25.8</v>
      </c>
      <c r="AA16" s="100">
        <f>AVERAGE(Y15:Y16)</f>
        <v>82.65</v>
      </c>
      <c r="AB16" s="100">
        <f>AVERAGE(Z15:Z16)</f>
        <v>17.350000000000001</v>
      </c>
      <c r="AC16" s="5"/>
      <c r="AD16" s="5"/>
      <c r="AE16" s="5"/>
      <c r="AF16" s="5"/>
    </row>
    <row r="17" spans="1:32" x14ac:dyDescent="0.3">
      <c r="A17" s="1" t="s">
        <v>34</v>
      </c>
      <c r="B17" s="25">
        <f t="shared" si="0"/>
        <v>1272.193098084736</v>
      </c>
      <c r="C17" s="25">
        <f t="shared" si="1"/>
        <v>6134.1058820239532</v>
      </c>
      <c r="D17" s="25">
        <f t="shared" si="2"/>
        <v>12446.140868675144</v>
      </c>
      <c r="E17" s="25">
        <f t="shared" si="3"/>
        <v>21382.630148578068</v>
      </c>
      <c r="F17" s="25">
        <f t="shared" si="4"/>
        <v>43072.188002638097</v>
      </c>
      <c r="G17" s="4">
        <v>674.22500000000002</v>
      </c>
      <c r="H17" s="48">
        <v>0</v>
      </c>
      <c r="I17" s="72">
        <f t="shared" si="5"/>
        <v>0</v>
      </c>
      <c r="J17" s="4">
        <v>84307.258000000002</v>
      </c>
      <c r="K17" s="89"/>
      <c r="L17" t="s">
        <v>63</v>
      </c>
      <c r="M17" s="19" t="e">
        <f>M20*#REF!/100</f>
        <v>#REF!</v>
      </c>
      <c r="N17" s="19" t="e">
        <f>N20*#REF!/100</f>
        <v>#REF!</v>
      </c>
      <c r="O17" s="13" t="e">
        <f>#REF!*AB5/100</f>
        <v>#REF!</v>
      </c>
      <c r="P17" s="13">
        <f>P20*AB5/100</f>
        <v>0</v>
      </c>
      <c r="Q17" s="5"/>
      <c r="R17" s="5"/>
      <c r="S17" s="5"/>
      <c r="T17" s="5"/>
      <c r="U17" s="5"/>
      <c r="V17" s="5"/>
      <c r="X17" t="s">
        <v>269</v>
      </c>
      <c r="Y17">
        <v>60.4</v>
      </c>
      <c r="Z17">
        <v>39.6</v>
      </c>
      <c r="AA17" s="100"/>
      <c r="AB17" s="100"/>
      <c r="AC17" s="5"/>
      <c r="AD17" s="5"/>
      <c r="AE17" s="5"/>
      <c r="AF17" s="5"/>
    </row>
    <row r="18" spans="1:32" x14ac:dyDescent="0.3">
      <c r="A18" s="1" t="s">
        <v>35</v>
      </c>
      <c r="B18" s="25">
        <f t="shared" si="0"/>
        <v>11.403935418107951</v>
      </c>
      <c r="C18" s="25">
        <f t="shared" si="1"/>
        <v>54.986108187310712</v>
      </c>
      <c r="D18" s="25">
        <f t="shared" si="2"/>
        <v>111.56717237715401</v>
      </c>
      <c r="E18" s="25">
        <f t="shared" si="3"/>
        <v>191.67383760435288</v>
      </c>
      <c r="F18" s="25">
        <f t="shared" si="4"/>
        <v>386.09897431307445</v>
      </c>
      <c r="G18" s="1"/>
      <c r="H18" s="48">
        <v>393939.34409999999</v>
      </c>
      <c r="I18" s="72">
        <f t="shared" si="5"/>
        <v>393.93934409999997</v>
      </c>
      <c r="J18" s="4">
        <v>755.73002789999998</v>
      </c>
      <c r="K18" s="89"/>
      <c r="L18" t="s">
        <v>64</v>
      </c>
      <c r="M18" s="19" t="e">
        <f>M20*#REF!/100</f>
        <v>#REF!</v>
      </c>
      <c r="N18" s="19" t="e">
        <f>N20*#REF!/100</f>
        <v>#REF!</v>
      </c>
      <c r="O18" s="13" t="e">
        <f>#REF!*AB6/100</f>
        <v>#REF!</v>
      </c>
      <c r="P18" s="13">
        <f>P20*AB6/100</f>
        <v>0</v>
      </c>
      <c r="Q18" s="5"/>
      <c r="R18" s="5"/>
      <c r="S18" s="5"/>
      <c r="T18" s="5"/>
      <c r="U18" s="5"/>
      <c r="V18" s="5"/>
      <c r="X18" t="s">
        <v>270</v>
      </c>
      <c r="Y18">
        <v>60.4</v>
      </c>
      <c r="Z18">
        <v>39.6</v>
      </c>
      <c r="AA18" s="100"/>
      <c r="AB18" s="100"/>
      <c r="AC18" s="5"/>
      <c r="AD18" s="5"/>
      <c r="AE18" s="5"/>
      <c r="AF18" s="5"/>
    </row>
    <row r="19" spans="1:32" x14ac:dyDescent="0.3">
      <c r="A19" s="1" t="s">
        <v>36</v>
      </c>
      <c r="B19" s="25">
        <f t="shared" si="0"/>
        <v>524.14431724666281</v>
      </c>
      <c r="C19" s="25">
        <f t="shared" si="1"/>
        <v>2527.2552918991187</v>
      </c>
      <c r="D19" s="25">
        <f t="shared" si="2"/>
        <v>5127.8174813152536</v>
      </c>
      <c r="E19" s="25">
        <f t="shared" si="3"/>
        <v>8809.6564091073724</v>
      </c>
      <c r="F19" s="25">
        <f t="shared" si="4"/>
        <v>17745.767216431595</v>
      </c>
      <c r="G19" s="1"/>
      <c r="H19" s="48">
        <v>697811.78700000001</v>
      </c>
      <c r="I19" s="72">
        <f t="shared" si="5"/>
        <v>697.81178699999998</v>
      </c>
      <c r="J19" s="4">
        <v>34734.640716000002</v>
      </c>
      <c r="K19" s="89"/>
      <c r="L19" t="s">
        <v>65</v>
      </c>
      <c r="M19" s="19" t="e">
        <f>M20*#REF!/100</f>
        <v>#REF!</v>
      </c>
      <c r="N19" s="19" t="e">
        <f>N20*#REF!/100</f>
        <v>#REF!</v>
      </c>
      <c r="O19" s="13" t="e">
        <f>#REF!*AB7/100</f>
        <v>#REF!</v>
      </c>
      <c r="P19" s="13">
        <f>P20*AB7/100</f>
        <v>0</v>
      </c>
      <c r="Q19" s="5"/>
      <c r="R19" s="5"/>
      <c r="S19" s="5"/>
      <c r="T19" s="5"/>
      <c r="U19" s="5"/>
      <c r="V19" s="5"/>
      <c r="X19" t="s">
        <v>246</v>
      </c>
      <c r="Y19">
        <v>60.4</v>
      </c>
      <c r="Z19">
        <v>39.6</v>
      </c>
      <c r="AA19" s="100"/>
      <c r="AB19" s="100"/>
      <c r="AC19" s="5"/>
      <c r="AD19" s="5"/>
      <c r="AE19" s="5"/>
      <c r="AF19" s="5"/>
    </row>
    <row r="20" spans="1:32" x14ac:dyDescent="0.3">
      <c r="A20" s="1" t="s">
        <v>37</v>
      </c>
      <c r="B20" s="25">
        <f t="shared" si="0"/>
        <v>35.084802847591412</v>
      </c>
      <c r="C20" s="25">
        <f t="shared" si="1"/>
        <v>169.16763331058934</v>
      </c>
      <c r="D20" s="25">
        <f t="shared" si="2"/>
        <v>343.24223205440825</v>
      </c>
      <c r="E20" s="25">
        <f t="shared" si="3"/>
        <v>589.69457093836331</v>
      </c>
      <c r="F20" s="25">
        <f t="shared" si="4"/>
        <v>1187.8536572490475</v>
      </c>
      <c r="G20" s="1"/>
      <c r="H20" s="48">
        <v>448684.39980000001</v>
      </c>
      <c r="I20" s="72">
        <f t="shared" si="5"/>
        <v>448.68439979999999</v>
      </c>
      <c r="J20" s="4">
        <v>2325.0428963999998</v>
      </c>
      <c r="K20" s="89"/>
      <c r="L20" t="s">
        <v>67</v>
      </c>
      <c r="M20" s="15" t="e">
        <f>#REF!</f>
        <v>#REF!</v>
      </c>
      <c r="N20" s="20" t="e">
        <f>#REF!</f>
        <v>#REF!</v>
      </c>
      <c r="O20" s="22"/>
      <c r="P20" s="22">
        <v>0</v>
      </c>
      <c r="Q20" s="5"/>
      <c r="R20" s="5"/>
      <c r="S20" s="5"/>
      <c r="T20" s="5"/>
      <c r="U20" s="5"/>
      <c r="V20" s="5"/>
      <c r="X20" t="s">
        <v>247</v>
      </c>
      <c r="Y20">
        <v>60.4</v>
      </c>
      <c r="Z20">
        <v>39.6</v>
      </c>
      <c r="AA20" s="100"/>
      <c r="AB20" s="100"/>
      <c r="AC20" s="5"/>
      <c r="AD20" s="5"/>
      <c r="AE20" s="5"/>
      <c r="AF20" s="5"/>
    </row>
    <row r="21" spans="1:32" x14ac:dyDescent="0.3">
      <c r="A21" s="1" t="s">
        <v>38</v>
      </c>
      <c r="B21" s="25">
        <f t="shared" si="0"/>
        <v>4.6482665518282067</v>
      </c>
      <c r="C21" s="25">
        <f t="shared" si="1"/>
        <v>22.412446066332503</v>
      </c>
      <c r="D21" s="25">
        <f t="shared" si="2"/>
        <v>45.474999342710909</v>
      </c>
      <c r="E21" s="25">
        <f t="shared" si="3"/>
        <v>78.1266339672664</v>
      </c>
      <c r="F21" s="25">
        <f t="shared" si="4"/>
        <v>157.37470287186196</v>
      </c>
      <c r="G21" s="1"/>
      <c r="H21" s="48">
        <v>0</v>
      </c>
      <c r="I21" s="71">
        <f t="shared" si="5"/>
        <v>0</v>
      </c>
      <c r="J21" s="4">
        <v>308.03704879999998</v>
      </c>
      <c r="K21" s="8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X21" t="s">
        <v>271</v>
      </c>
      <c r="Y21">
        <v>60.4</v>
      </c>
      <c r="Z21">
        <v>39.6</v>
      </c>
      <c r="AA21" s="100"/>
      <c r="AB21" s="100"/>
      <c r="AC21" s="5"/>
      <c r="AD21" s="5"/>
      <c r="AE21" s="5"/>
      <c r="AF21" s="5"/>
    </row>
    <row r="22" spans="1:32" x14ac:dyDescent="0.3">
      <c r="A22" s="1" t="s">
        <v>39</v>
      </c>
      <c r="B22" s="25">
        <f t="shared" si="0"/>
        <v>0</v>
      </c>
      <c r="C22" s="25">
        <f t="shared" si="1"/>
        <v>0</v>
      </c>
      <c r="D22" s="25">
        <f t="shared" si="2"/>
        <v>0</v>
      </c>
      <c r="E22" s="25">
        <f t="shared" si="3"/>
        <v>0</v>
      </c>
      <c r="F22" s="25">
        <f>$N$39*J22/100</f>
        <v>0</v>
      </c>
      <c r="G22" s="4">
        <v>0</v>
      </c>
      <c r="H22" s="48">
        <v>0</v>
      </c>
      <c r="I22" s="71">
        <f t="shared" si="5"/>
        <v>0</v>
      </c>
      <c r="J22" s="4">
        <v>0</v>
      </c>
      <c r="K22" s="8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X22" t="s">
        <v>248</v>
      </c>
      <c r="Y22">
        <v>60.4</v>
      </c>
      <c r="Z22">
        <v>39.6</v>
      </c>
      <c r="AA22" s="100"/>
      <c r="AB22" s="100"/>
      <c r="AC22" s="5"/>
      <c r="AD22" s="5"/>
      <c r="AE22" s="5"/>
      <c r="AF22" s="5"/>
    </row>
    <row r="23" spans="1:32" x14ac:dyDescent="0.3"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X23" t="s">
        <v>272</v>
      </c>
      <c r="Y23">
        <v>60.4</v>
      </c>
      <c r="Z23">
        <v>39.6</v>
      </c>
      <c r="AA23" s="100"/>
      <c r="AB23" s="100"/>
      <c r="AC23" s="5"/>
      <c r="AD23" s="5"/>
      <c r="AE23" s="5"/>
      <c r="AF23" s="5"/>
    </row>
    <row r="24" spans="1:32" x14ac:dyDescent="0.3"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t="s">
        <v>273</v>
      </c>
      <c r="X24" t="s">
        <v>249</v>
      </c>
      <c r="Y24">
        <v>60.4</v>
      </c>
      <c r="Z24">
        <v>39.6</v>
      </c>
      <c r="AA24" s="100">
        <f>AVERAGE(Y17:Y24)</f>
        <v>60.399999999999991</v>
      </c>
      <c r="AB24" s="100">
        <f>AVERAGE(Z17:Z24)</f>
        <v>39.6</v>
      </c>
      <c r="AC24" s="5"/>
      <c r="AD24" s="5"/>
      <c r="AE24" s="5"/>
      <c r="AF24" s="5"/>
    </row>
    <row r="25" spans="1:32" x14ac:dyDescent="0.3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X25" t="s">
        <v>250</v>
      </c>
      <c r="Y25">
        <v>23</v>
      </c>
      <c r="Z25">
        <v>77</v>
      </c>
      <c r="AA25" s="100"/>
      <c r="AB25" s="100"/>
      <c r="AC25" s="5"/>
      <c r="AD25" s="5"/>
      <c r="AE25" s="5"/>
      <c r="AF25" s="5"/>
    </row>
    <row r="26" spans="1:32" x14ac:dyDescent="0.3">
      <c r="A26" s="12" t="s">
        <v>79</v>
      </c>
      <c r="B26" s="23">
        <f>SUM(M3:N3)</f>
        <v>25768.433999999997</v>
      </c>
      <c r="C26" s="24">
        <f>SUM(O3)</f>
        <v>273674.4123729</v>
      </c>
      <c r="D26" s="23">
        <f>SUM(Q3:R3)</f>
        <v>40129.675999999999</v>
      </c>
      <c r="E26" s="23">
        <f>SUM(P3,S3:AB3)</f>
        <v>440459.67163020006</v>
      </c>
      <c r="F26" s="23"/>
      <c r="G26" s="5">
        <f>SUM(B26:F26)</f>
        <v>780032.19400310004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X26" t="s">
        <v>274</v>
      </c>
      <c r="Y26">
        <v>55.5</v>
      </c>
      <c r="Z26">
        <v>44.5</v>
      </c>
      <c r="AA26" s="100"/>
      <c r="AB26" s="100"/>
      <c r="AC26" s="5"/>
      <c r="AD26" s="5"/>
      <c r="AE26" s="5"/>
      <c r="AF26" s="5"/>
    </row>
    <row r="27" spans="1:32" x14ac:dyDescent="0.3">
      <c r="A27" s="21" t="s">
        <v>80</v>
      </c>
      <c r="B27" s="23"/>
      <c r="C27" s="24"/>
      <c r="D27" s="23"/>
      <c r="E27" s="23"/>
      <c r="F27" s="22">
        <f>SUM(AC4:AG4)</f>
        <v>46640.817996899998</v>
      </c>
      <c r="G27" s="5">
        <f>SUM(B27:F27)</f>
        <v>46640.817996899998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t="s">
        <v>48</v>
      </c>
      <c r="X27" t="s">
        <v>275</v>
      </c>
      <c r="Y27">
        <v>69.599999999999994</v>
      </c>
      <c r="Z27">
        <v>30.4</v>
      </c>
      <c r="AA27" s="101">
        <f>AVERAGE(Y25:Y27)</f>
        <v>49.366666666666667</v>
      </c>
      <c r="AB27" s="101">
        <f>AVERAGE(Z25:Z27)</f>
        <v>50.633333333333333</v>
      </c>
      <c r="AC27" s="5"/>
      <c r="AD27" s="5"/>
      <c r="AE27" s="5"/>
      <c r="AF27" s="5"/>
    </row>
    <row r="28" spans="1:32" x14ac:dyDescent="0.3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826673.01199999999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X28" t="s">
        <v>251</v>
      </c>
      <c r="Y28">
        <v>59</v>
      </c>
      <c r="Z28">
        <v>41</v>
      </c>
      <c r="AA28" s="100"/>
      <c r="AB28" s="100"/>
      <c r="AC28" s="5"/>
      <c r="AD28" s="5"/>
      <c r="AE28" s="5"/>
      <c r="AF28" s="5"/>
    </row>
    <row r="29" spans="1:32" x14ac:dyDescent="0.3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9">
        <f>SUM(I18:I22)</f>
        <v>1540.4355308999998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X29" t="s">
        <v>276</v>
      </c>
      <c r="Y29">
        <v>73.8</v>
      </c>
      <c r="Z29">
        <v>26.2</v>
      </c>
      <c r="AA29" s="100"/>
      <c r="AB29" s="100"/>
      <c r="AC29" s="5"/>
      <c r="AD29" s="5"/>
      <c r="AE29" s="5"/>
      <c r="AF29" s="5"/>
    </row>
    <row r="30" spans="1:32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  <c r="X30" t="s">
        <v>252</v>
      </c>
      <c r="Y30">
        <v>78.099999999999994</v>
      </c>
      <c r="Z30">
        <v>21.9</v>
      </c>
      <c r="AA30" s="100"/>
      <c r="AB30" s="100"/>
      <c r="AD30" s="5"/>
    </row>
    <row r="31" spans="1:32" x14ac:dyDescent="0.3">
      <c r="A31" t="s">
        <v>3</v>
      </c>
      <c r="B31" s="5">
        <f>SUM(M2:N2)</f>
        <v>7412.277</v>
      </c>
      <c r="C31" s="4">
        <f>SUM(O2)</f>
        <v>192748.72173059999</v>
      </c>
      <c r="D31" s="5">
        <f>SUM(Q2:R2)</f>
        <v>99328.637000000002</v>
      </c>
      <c r="E31" s="5">
        <f>SUM(P2,S2:AB2)</f>
        <v>557103.20965520001</v>
      </c>
      <c r="F31" s="5">
        <f>SUM(AC2:AG2)</f>
        <v>56815.918614200004</v>
      </c>
      <c r="G31" s="5">
        <f>SUM(B31:F31)</f>
        <v>913408.76399999997</v>
      </c>
      <c r="X31" t="s">
        <v>277</v>
      </c>
      <c r="Y31">
        <v>18.2</v>
      </c>
      <c r="Z31">
        <v>81.8</v>
      </c>
      <c r="AA31" s="100"/>
      <c r="AB31" s="100"/>
      <c r="AD31" s="5"/>
    </row>
    <row r="32" spans="1:32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  <c r="X32" t="s">
        <v>253</v>
      </c>
      <c r="Y32">
        <v>40.200000000000003</v>
      </c>
      <c r="Z32">
        <v>59.8</v>
      </c>
      <c r="AA32" s="100"/>
      <c r="AB32" s="100"/>
      <c r="AD32" s="5"/>
    </row>
    <row r="33" spans="1:30" x14ac:dyDescent="0.3">
      <c r="A33" t="s">
        <v>57</v>
      </c>
      <c r="B33">
        <v>0.17100000000000001</v>
      </c>
      <c r="C33">
        <v>0.39600000000000002</v>
      </c>
      <c r="D33">
        <v>0.50600000000000001</v>
      </c>
      <c r="E33">
        <v>0.503</v>
      </c>
      <c r="F33">
        <v>0.44900000000000001</v>
      </c>
      <c r="N33" t="s">
        <v>68</v>
      </c>
      <c r="R33" t="s">
        <v>68</v>
      </c>
      <c r="X33" t="s">
        <v>254</v>
      </c>
      <c r="Y33">
        <v>16.8</v>
      </c>
      <c r="Z33">
        <v>83.2</v>
      </c>
      <c r="AA33" s="100"/>
      <c r="AB33" s="100"/>
      <c r="AD33" s="5"/>
    </row>
    <row r="34" spans="1:30" x14ac:dyDescent="0.3">
      <c r="A34" s="12" t="s">
        <v>59</v>
      </c>
      <c r="B34" s="13">
        <f>B31*B32</f>
        <v>6144.7776329999997</v>
      </c>
      <c r="C34" s="13">
        <f t="shared" ref="C34:F34" si="8">C31*C32</f>
        <v>116420.22792528239</v>
      </c>
      <c r="D34" s="13">
        <f t="shared" si="8"/>
        <v>49068.346678000002</v>
      </c>
      <c r="E34" s="13">
        <f t="shared" si="8"/>
        <v>276880.29519863438</v>
      </c>
      <c r="F34" s="13">
        <f t="shared" si="8"/>
        <v>31305.571156424205</v>
      </c>
      <c r="G34" s="15">
        <f>SUM(B34:F34)</f>
        <v>479819.21859134099</v>
      </c>
      <c r="H34" s="77">
        <f>G34*(1-0.033)</f>
        <v>463985.18437782675</v>
      </c>
      <c r="M34" t="s">
        <v>69</v>
      </c>
      <c r="N34" t="s">
        <v>70</v>
      </c>
      <c r="O34" t="s">
        <v>71</v>
      </c>
      <c r="P34" t="s">
        <v>72</v>
      </c>
      <c r="Q34" t="s">
        <v>73</v>
      </c>
      <c r="R34" t="s">
        <v>74</v>
      </c>
      <c r="X34" t="s">
        <v>255</v>
      </c>
      <c r="Y34">
        <v>69.3</v>
      </c>
      <c r="Z34">
        <v>30.7</v>
      </c>
      <c r="AA34" s="100"/>
      <c r="AB34" s="100"/>
      <c r="AD34" s="5"/>
    </row>
    <row r="35" spans="1:30" x14ac:dyDescent="0.3">
      <c r="A35" s="12" t="s">
        <v>60</v>
      </c>
      <c r="B35" s="13">
        <f>B31*B33</f>
        <v>1267.4993670000001</v>
      </c>
      <c r="C35" s="13">
        <f t="shared" ref="C35:F35" si="9">C31*C33</f>
        <v>76328.493805317601</v>
      </c>
      <c r="D35" s="13">
        <f t="shared" si="9"/>
        <v>50260.290322000001</v>
      </c>
      <c r="E35" s="13">
        <f t="shared" si="9"/>
        <v>280222.91445656563</v>
      </c>
      <c r="F35" s="13">
        <f t="shared" si="9"/>
        <v>25510.347457775802</v>
      </c>
      <c r="G35" s="15">
        <f>SUM(B35:F35)</f>
        <v>433589.54540865903</v>
      </c>
      <c r="H35" s="77">
        <f>G35*(1-0.033)</f>
        <v>419281.09041017329</v>
      </c>
      <c r="L35" t="s">
        <v>61</v>
      </c>
      <c r="M35" s="11">
        <v>286</v>
      </c>
      <c r="N35" s="17">
        <f>M35/M40*100</f>
        <v>1.5089959373186304</v>
      </c>
      <c r="O35" s="11">
        <v>98</v>
      </c>
      <c r="P35" s="11">
        <v>93</v>
      </c>
      <c r="Q35" s="14">
        <f>SUM(O35:P35)</f>
        <v>191</v>
      </c>
      <c r="R35" s="10">
        <f>Q35/Q40*100</f>
        <v>2.435913786506823</v>
      </c>
      <c r="X35" t="s">
        <v>256</v>
      </c>
      <c r="Y35">
        <v>30.5</v>
      </c>
      <c r="Z35">
        <v>69.5</v>
      </c>
      <c r="AA35" s="100"/>
      <c r="AB35" s="100"/>
      <c r="AD35" s="5"/>
    </row>
    <row r="36" spans="1:30" x14ac:dyDescent="0.3">
      <c r="L36" t="s">
        <v>62</v>
      </c>
      <c r="M36" s="11">
        <v>1379</v>
      </c>
      <c r="N36" s="17">
        <f>M36/M40*100</f>
        <v>7.2758929984698986</v>
      </c>
      <c r="O36" s="11">
        <v>496</v>
      </c>
      <c r="P36" s="11">
        <v>205</v>
      </c>
      <c r="Q36" s="14">
        <f t="shared" ref="Q36:Q40" si="10">SUM(O36:P36)</f>
        <v>701</v>
      </c>
      <c r="R36" s="10">
        <f>Q36/Q40*100</f>
        <v>8.9401862007397011</v>
      </c>
      <c r="W36" t="s">
        <v>278</v>
      </c>
      <c r="X36" t="s">
        <v>257</v>
      </c>
      <c r="Y36">
        <v>61.7</v>
      </c>
      <c r="Z36">
        <v>38.299999999999997</v>
      </c>
      <c r="AA36" s="101">
        <f>AVERAGE(Y28:Y36)</f>
        <v>49.733333333333334</v>
      </c>
      <c r="AB36" s="101">
        <f>AVERAGE(Z28:Z36)</f>
        <v>50.266666666666666</v>
      </c>
      <c r="AD36" s="5"/>
    </row>
    <row r="37" spans="1:30" x14ac:dyDescent="0.3">
      <c r="A37" t="s">
        <v>56</v>
      </c>
      <c r="G37" s="16">
        <f>SUM(G34:G36)</f>
        <v>913408.76399999997</v>
      </c>
      <c r="L37" t="s">
        <v>63</v>
      </c>
      <c r="M37" s="11">
        <v>2798</v>
      </c>
      <c r="N37" s="17">
        <f>M37/M40*100</f>
        <v>14.762834379781564</v>
      </c>
      <c r="O37" s="11">
        <v>1029</v>
      </c>
      <c r="P37" s="11">
        <v>255</v>
      </c>
      <c r="Q37" s="14">
        <f t="shared" si="10"/>
        <v>1284</v>
      </c>
      <c r="R37" s="10">
        <f>Q37/Q40*100</f>
        <v>16.375462313480423</v>
      </c>
      <c r="W37" s="102" t="s">
        <v>258</v>
      </c>
      <c r="X37" s="103"/>
      <c r="Y37" s="103"/>
      <c r="Z37" s="103"/>
      <c r="AA37" s="104">
        <f>AVERAGE(AA24,AA36)</f>
        <v>55.066666666666663</v>
      </c>
      <c r="AB37" s="104">
        <f>AVERAGE(AB24,AB36)</f>
        <v>44.933333333333337</v>
      </c>
    </row>
    <row r="38" spans="1:30" x14ac:dyDescent="0.3">
      <c r="L38" t="s">
        <v>64</v>
      </c>
      <c r="M38" s="11">
        <v>4807</v>
      </c>
      <c r="N38" s="17">
        <f>M38/M40*100</f>
        <v>25.36273940800929</v>
      </c>
      <c r="O38" s="11">
        <v>1488</v>
      </c>
      <c r="P38" s="11">
        <v>345</v>
      </c>
      <c r="Q38" s="14">
        <f t="shared" si="10"/>
        <v>1833</v>
      </c>
      <c r="R38" s="10">
        <f>Q38/Q40*100</f>
        <v>23.377120265272286</v>
      </c>
    </row>
    <row r="39" spans="1:30" x14ac:dyDescent="0.3">
      <c r="B39" s="12" t="s">
        <v>59</v>
      </c>
      <c r="C39" s="12" t="s">
        <v>60</v>
      </c>
      <c r="D39" s="12" t="s">
        <v>79</v>
      </c>
      <c r="E39" s="21" t="s">
        <v>80</v>
      </c>
      <c r="L39" t="s">
        <v>65</v>
      </c>
      <c r="M39" s="11">
        <v>9683</v>
      </c>
      <c r="N39" s="17">
        <f>M39/M40*100</f>
        <v>51.089537276420614</v>
      </c>
      <c r="O39" s="11">
        <v>2644</v>
      </c>
      <c r="P39" s="11">
        <v>1188</v>
      </c>
      <c r="Q39" s="14">
        <f t="shared" si="10"/>
        <v>3832</v>
      </c>
      <c r="R39" s="10">
        <f>Q39/Q40*100</f>
        <v>48.871317434000765</v>
      </c>
      <c r="W39" t="s">
        <v>259</v>
      </c>
    </row>
    <row r="40" spans="1:30" x14ac:dyDescent="0.3">
      <c r="A40" t="s">
        <v>61</v>
      </c>
      <c r="B40" s="19">
        <f>B46*N35/100</f>
        <v>7001.5175820217619</v>
      </c>
      <c r="C40" s="19">
        <f>C46*N35/100</f>
        <v>6326.9346202347688</v>
      </c>
      <c r="D40" s="13">
        <f>D46*R35/100</f>
        <v>6381.5509118734863</v>
      </c>
      <c r="E40" s="13">
        <f>E45*R35/100</f>
        <v>0</v>
      </c>
      <c r="G40" s="75" t="s">
        <v>215</v>
      </c>
      <c r="H40" s="76"/>
      <c r="L40" t="s">
        <v>67</v>
      </c>
      <c r="M40" s="14">
        <f>SUM(M35:M39)</f>
        <v>18953</v>
      </c>
      <c r="N40" s="18"/>
      <c r="O40" s="14">
        <f t="shared" ref="O40:P40" si="11">SUM(O35:O39)</f>
        <v>5755</v>
      </c>
      <c r="P40" s="14">
        <f t="shared" si="11"/>
        <v>2086</v>
      </c>
      <c r="Q40" s="14">
        <f t="shared" si="10"/>
        <v>7841</v>
      </c>
    </row>
    <row r="41" spans="1:30" x14ac:dyDescent="0.3">
      <c r="A41" t="s">
        <v>62</v>
      </c>
      <c r="B41" s="19">
        <f>B46*N36/100</f>
        <v>33759.065544083947</v>
      </c>
      <c r="C41" s="19">
        <f>C46*N36/100</f>
        <v>30506.443501062044</v>
      </c>
      <c r="D41" s="13">
        <f>D46*R36/100</f>
        <v>23421.294184415252</v>
      </c>
      <c r="E41" s="13">
        <f>E45*R36/100</f>
        <v>0</v>
      </c>
    </row>
    <row r="42" spans="1:30" x14ac:dyDescent="0.3">
      <c r="A42" t="s">
        <v>63</v>
      </c>
      <c r="B42" s="19">
        <f>B46*N37/100</f>
        <v>68497.364316422681</v>
      </c>
      <c r="C42" s="19">
        <f>C46*N37/100</f>
        <v>61897.772962996081</v>
      </c>
      <c r="D42" s="13">
        <f>D46*R37/100</f>
        <v>42900.059533222804</v>
      </c>
      <c r="E42" s="13">
        <f>E45*R37/100</f>
        <v>0</v>
      </c>
    </row>
    <row r="43" spans="1:30" x14ac:dyDescent="0.3">
      <c r="A43" t="s">
        <v>64</v>
      </c>
      <c r="B43" s="19">
        <f>B46*N38/100</f>
        <v>117679.35320551964</v>
      </c>
      <c r="C43" s="19">
        <f>C46*N38/100</f>
        <v>106341.17034779208</v>
      </c>
      <c r="D43" s="13">
        <f>D46*R38/100</f>
        <v>61242.841997194235</v>
      </c>
      <c r="E43" s="13">
        <f>E45*R38/100</f>
        <v>0</v>
      </c>
      <c r="L43" t="s">
        <v>77</v>
      </c>
    </row>
    <row r="44" spans="1:30" x14ac:dyDescent="0.3">
      <c r="A44" t="s">
        <v>65</v>
      </c>
      <c r="B44" s="19">
        <f>B46*N39/100</f>
        <v>237047.88372977872</v>
      </c>
      <c r="C44" s="19">
        <f>C46*N39/100</f>
        <v>214208.76897808831</v>
      </c>
      <c r="D44" s="13">
        <f>D46*R39/100</f>
        <v>128031.95337329424</v>
      </c>
      <c r="E44" s="13">
        <f>E45*R39/100</f>
        <v>0</v>
      </c>
    </row>
    <row r="45" spans="1:30" x14ac:dyDescent="0.3">
      <c r="A45" t="s">
        <v>67</v>
      </c>
      <c r="B45" s="15">
        <f>G34</f>
        <v>479819.21859134099</v>
      </c>
      <c r="C45" s="20">
        <f>G35</f>
        <v>433589.54540865903</v>
      </c>
      <c r="D45" s="22"/>
      <c r="E45" s="22">
        <v>0</v>
      </c>
    </row>
    <row r="46" spans="1:30" x14ac:dyDescent="0.3">
      <c r="A46" t="s">
        <v>214</v>
      </c>
      <c r="B46" s="74">
        <f>H34</f>
        <v>463985.18437782675</v>
      </c>
      <c r="C46" s="74">
        <f>H35</f>
        <v>419281.09041017329</v>
      </c>
      <c r="D46" s="73">
        <f>미시사회행렬초기!X26</f>
        <v>261977.7</v>
      </c>
    </row>
    <row r="47" spans="1:30" x14ac:dyDescent="0.3">
      <c r="A47" t="s">
        <v>180</v>
      </c>
      <c r="B47" s="19">
        <f>G47*R35/100</f>
        <v>3485.7195510776683</v>
      </c>
      <c r="C47" s="19">
        <f>G47*R36/100</f>
        <v>12793.13824767249</v>
      </c>
      <c r="D47" s="19">
        <f>G47*R37/100</f>
        <v>23432.795306721076</v>
      </c>
      <c r="E47" s="19">
        <f>G47*R38/100</f>
        <v>33451.957785996681</v>
      </c>
      <c r="F47" s="19">
        <f>G47*R39/100</f>
        <v>69933.389108532065</v>
      </c>
      <c r="G47" s="44">
        <f>미시사회행렬초기!Z29</f>
        <v>143097</v>
      </c>
      <c r="H47" s="14"/>
      <c r="I47" t="s">
        <v>181</v>
      </c>
    </row>
    <row r="48" spans="1:30" x14ac:dyDescent="0.3">
      <c r="B48" s="19"/>
    </row>
    <row r="49" spans="1:7" x14ac:dyDescent="0.3">
      <c r="A49" t="s">
        <v>212</v>
      </c>
      <c r="B49" s="19">
        <f>G49*N35/100</f>
        <v>1454.0033720255344</v>
      </c>
      <c r="C49" s="19">
        <f>G49*N36/100</f>
        <v>7010.7365385426974</v>
      </c>
      <c r="D49" s="19">
        <f>G49*N37/100</f>
        <v>14224.830192054003</v>
      </c>
      <c r="E49" s="19">
        <f>G49*N38/100</f>
        <v>24438.44129135225</v>
      </c>
      <c r="F49" s="19">
        <f>G49*N39/100</f>
        <v>49227.673606025332</v>
      </c>
      <c r="G49" s="44">
        <f>미시사회행렬초기!Z33</f>
        <v>96355.684999999823</v>
      </c>
    </row>
    <row r="51" spans="1:7" x14ac:dyDescent="0.3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 x14ac:dyDescent="0.3">
      <c r="A52" t="s">
        <v>61</v>
      </c>
      <c r="B52" s="19">
        <f>B57*N35/100</f>
        <v>7298.2420323393344</v>
      </c>
      <c r="C52" s="19">
        <f>C57*N35/100</f>
        <v>6485.059107532983</v>
      </c>
      <c r="D52" s="13">
        <f>D58*R47/100</f>
        <v>0</v>
      </c>
      <c r="E52" s="13">
        <f>E57*R47/100</f>
        <v>0</v>
      </c>
      <c r="G52" s="75"/>
    </row>
    <row r="53" spans="1:7" x14ac:dyDescent="0.3">
      <c r="A53" t="s">
        <v>62</v>
      </c>
      <c r="B53" s="19">
        <f>B57*N36/100</f>
        <v>35189.7753936921</v>
      </c>
      <c r="C53" s="19">
        <f>C57*N36/100</f>
        <v>31268.86891359435</v>
      </c>
      <c r="D53" s="13">
        <f>D58*R48/100</f>
        <v>0</v>
      </c>
      <c r="E53" s="13">
        <f>E57*R48/100</f>
        <v>0</v>
      </c>
    </row>
    <row r="54" spans="1:7" x14ac:dyDescent="0.3">
      <c r="A54" t="s">
        <v>63</v>
      </c>
      <c r="B54" s="19">
        <f>B57*N37/100</f>
        <v>71400.283938760331</v>
      </c>
      <c r="C54" s="19">
        <f>C57*N37/100</f>
        <v>63444.739100969535</v>
      </c>
      <c r="D54" s="13">
        <f>D58*R49/100</f>
        <v>0</v>
      </c>
      <c r="E54" s="13">
        <f>E57*R49/100</f>
        <v>0</v>
      </c>
    </row>
    <row r="55" spans="1:7" x14ac:dyDescent="0.3">
      <c r="A55" t="s">
        <v>64</v>
      </c>
      <c r="B55" s="19">
        <f>B57*N38/100</f>
        <v>122666.6064666265</v>
      </c>
      <c r="C55" s="19">
        <f>C57*N38/100</f>
        <v>108998.87807661209</v>
      </c>
      <c r="D55" s="13">
        <f>D58*R50/100</f>
        <v>0</v>
      </c>
      <c r="E55" s="13">
        <f>E57*R50/100</f>
        <v>0</v>
      </c>
    </row>
    <row r="56" spans="1:7" x14ac:dyDescent="0.3">
      <c r="A56" t="s">
        <v>65</v>
      </c>
      <c r="B56" s="19">
        <f>B57*N39/100</f>
        <v>247093.97761937679</v>
      </c>
      <c r="C56" s="19">
        <f>C57*N39/100</f>
        <v>219562.33335049608</v>
      </c>
      <c r="D56" s="13">
        <f>D58*R51/100</f>
        <v>0</v>
      </c>
      <c r="E56" s="13">
        <f>E57*R51/100</f>
        <v>0</v>
      </c>
    </row>
    <row r="57" spans="1:7" x14ac:dyDescent="0.3">
      <c r="A57" t="s">
        <v>67</v>
      </c>
      <c r="B57" s="15">
        <f>AH8</f>
        <v>483648.88545079506</v>
      </c>
      <c r="C57" s="20">
        <f>AH9</f>
        <v>429759.87854920502</v>
      </c>
      <c r="D57" s="22"/>
      <c r="E57" s="22">
        <v>0</v>
      </c>
    </row>
    <row r="58" spans="1:7" x14ac:dyDescent="0.3">
      <c r="B58" s="74"/>
      <c r="C58" s="74"/>
      <c r="D58" s="73"/>
    </row>
    <row r="59" spans="1:7" x14ac:dyDescent="0.3">
      <c r="B59" s="19"/>
      <c r="C59" s="19"/>
      <c r="D59" s="19"/>
      <c r="E59" s="19"/>
      <c r="F59" s="19"/>
      <c r="G59" s="44"/>
    </row>
    <row r="60" spans="1:7" x14ac:dyDescent="0.3">
      <c r="B60" s="19"/>
    </row>
    <row r="61" spans="1:7" x14ac:dyDescent="0.3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zoomScale="55" zoomScaleNormal="55" workbookViewId="0">
      <selection activeCell="A31" sqref="A31:XFD31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9.5546875" bestFit="1" customWidth="1"/>
    <col min="11" max="11" width="32.8867187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 t="s">
        <v>67</v>
      </c>
      <c r="L23" s="5">
        <f>SUM(L2:L22)</f>
        <v>935933.77899999998</v>
      </c>
      <c r="M23" s="5">
        <f>SUM(M2:M22)</f>
        <v>328663.18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t="s">
        <v>47</v>
      </c>
      <c r="B27" s="23">
        <f>G27*M35/100</f>
        <v>3225.8931406120719</v>
      </c>
      <c r="C27" s="23">
        <f>G27*M36/100</f>
        <v>15554.219024140022</v>
      </c>
      <c r="D27" s="25">
        <f>G27*M37/100</f>
        <v>31559.611914099914</v>
      </c>
      <c r="E27" s="23">
        <f>G27*M38/100</f>
        <v>54219.819324902914</v>
      </c>
      <c r="F27" s="23">
        <f>G27*M39/100</f>
        <v>109217.91356834507</v>
      </c>
      <c r="G27" s="5">
        <f>SUM(L4)</f>
        <v>213777.45697209999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 x14ac:dyDescent="0.3">
      <c r="B31" s="5"/>
      <c r="C31" s="5"/>
      <c r="D31" s="5"/>
      <c r="E31" s="5"/>
      <c r="F31" s="5"/>
      <c r="G31" s="5">
        <f>SUM(G26:G30)</f>
        <v>935933.77899999998</v>
      </c>
      <c r="H31" s="5">
        <f t="shared" ref="H31:I31" si="0">SUM(H26:H30)</f>
        <v>0</v>
      </c>
      <c r="I31" s="5">
        <f t="shared" si="0"/>
        <v>328663.18</v>
      </c>
    </row>
    <row r="33" spans="1:17" x14ac:dyDescent="0.3">
      <c r="M33" t="s">
        <v>68</v>
      </c>
      <c r="Q33" t="s">
        <v>68</v>
      </c>
    </row>
    <row r="34" spans="1:17" x14ac:dyDescent="0.3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1">SUM(N36:O36)</f>
        <v>701</v>
      </c>
      <c r="Q36" s="10">
        <f>P36/P40*100</f>
        <v>8.9401862007397011</v>
      </c>
    </row>
    <row r="37" spans="1:17" x14ac:dyDescent="0.3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1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1"/>
        <v>1833</v>
      </c>
      <c r="Q38" s="10">
        <f>P38/P40*100</f>
        <v>23.377120265272286</v>
      </c>
    </row>
    <row r="39" spans="1:17" x14ac:dyDescent="0.3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1"/>
        <v>3832</v>
      </c>
      <c r="Q39" s="10">
        <f>P39/P40*100</f>
        <v>48.871317434000765</v>
      </c>
    </row>
    <row r="40" spans="1:17" x14ac:dyDescent="0.3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2">SUM(N35:N39)</f>
        <v>5755</v>
      </c>
      <c r="O40" s="14">
        <f t="shared" si="2"/>
        <v>2086</v>
      </c>
      <c r="P40" s="14">
        <f t="shared" si="1"/>
        <v>7841</v>
      </c>
    </row>
    <row r="41" spans="1:17" x14ac:dyDescent="0.3">
      <c r="B41" s="19"/>
      <c r="C41" s="19"/>
      <c r="D41" s="13"/>
      <c r="E41" s="13"/>
    </row>
    <row r="42" spans="1:17" x14ac:dyDescent="0.3">
      <c r="B42" s="19"/>
      <c r="C42" s="19"/>
      <c r="D42" s="13"/>
      <c r="E42" s="13"/>
    </row>
    <row r="43" spans="1:17" x14ac:dyDescent="0.3">
      <c r="B43" s="19"/>
      <c r="C43" s="19"/>
      <c r="D43" s="13"/>
      <c r="E43" s="13"/>
      <c r="K43" t="s">
        <v>77</v>
      </c>
    </row>
    <row r="44" spans="1:17" x14ac:dyDescent="0.3">
      <c r="B44" s="19"/>
      <c r="C44" s="19"/>
      <c r="D44" s="13"/>
      <c r="E44" s="13"/>
    </row>
    <row r="45" spans="1:17" x14ac:dyDescent="0.3">
      <c r="B45" s="15"/>
      <c r="C45" s="20"/>
      <c r="D45" s="22"/>
      <c r="E45" s="22"/>
    </row>
    <row r="46" spans="1:17" x14ac:dyDescent="0.3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zoomScale="55" zoomScaleNormal="55" workbookViewId="0">
      <selection activeCell="L13" sqref="L13"/>
    </sheetView>
  </sheetViews>
  <sheetFormatPr defaultRowHeight="17.25" x14ac:dyDescent="0.3"/>
  <cols>
    <col min="1" max="1" width="32.88671875" bestFit="1" customWidth="1"/>
    <col min="2" max="2" width="12.6640625" bestFit="1" customWidth="1"/>
    <col min="3" max="3" width="10.6640625" bestFit="1" customWidth="1"/>
    <col min="4" max="5" width="10" bestFit="1" customWidth="1"/>
    <col min="6" max="6" width="12.6640625" bestFit="1" customWidth="1"/>
    <col min="7" max="7" width="9.5546875" bestFit="1" customWidth="1"/>
    <col min="11" max="11" width="12.44140625" bestFit="1" customWidth="1"/>
    <col min="12" max="12" width="9.5546875" bestFit="1" customWidth="1"/>
    <col min="13" max="13" width="11.109375" bestFit="1" customWidth="1"/>
    <col min="14" max="14" width="10.109375" bestFit="1" customWidth="1"/>
    <col min="15" max="15" width="11.109375" bestFit="1" customWidth="1"/>
    <col min="16" max="16" width="9.5546875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  <c r="K7" s="64" t="s">
        <v>41</v>
      </c>
      <c r="L7" s="6">
        <v>543.61400000000003</v>
      </c>
      <c r="M7" s="6">
        <v>6069.3789999999999</v>
      </c>
      <c r="N7" s="6">
        <v>16859.252943799998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1.0676E-2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0.82699999999999996</v>
      </c>
      <c r="AB7" s="6">
        <v>284.06305620000001</v>
      </c>
      <c r="AC7" s="6">
        <v>0</v>
      </c>
      <c r="AD7" s="6">
        <v>9.3240000000000007E-3</v>
      </c>
      <c r="AE7" s="6">
        <v>0</v>
      </c>
      <c r="AF7" s="6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52" t="s">
        <v>16</v>
      </c>
      <c r="L8" s="93">
        <v>11582.416999999999</v>
      </c>
      <c r="M8" s="93">
        <v>140621.35</v>
      </c>
      <c r="N8" s="93">
        <v>427720.12769220001</v>
      </c>
      <c r="O8" s="93">
        <v>2378.4344580000002</v>
      </c>
      <c r="P8" s="93">
        <v>177.20099999999999</v>
      </c>
      <c r="Q8" s="93">
        <v>35.432000000000002</v>
      </c>
      <c r="R8" s="93">
        <v>24516.612000000001</v>
      </c>
      <c r="S8" s="93">
        <v>18820.819</v>
      </c>
      <c r="T8" s="93">
        <v>6288.0323116</v>
      </c>
      <c r="U8" s="93">
        <v>3965.2249999999999</v>
      </c>
      <c r="V8" s="93">
        <v>1753.3440000000001</v>
      </c>
      <c r="W8" s="93">
        <v>37076.588930799997</v>
      </c>
      <c r="X8" s="93">
        <v>657.35900000000004</v>
      </c>
      <c r="Y8" s="93">
        <v>2315.5300000000002</v>
      </c>
      <c r="Z8" s="93">
        <v>361.84199999999998</v>
      </c>
      <c r="AA8" s="93">
        <v>6771.4735480000008</v>
      </c>
      <c r="AB8" s="93">
        <v>10411.374307800001</v>
      </c>
      <c r="AC8" s="93">
        <v>1463.9475419999999</v>
      </c>
      <c r="AD8" s="93">
        <v>3255.6526884</v>
      </c>
      <c r="AE8" s="93">
        <v>7574.2960691999997</v>
      </c>
      <c r="AF8" s="93">
        <v>74.275452000000001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52" t="s">
        <v>12</v>
      </c>
      <c r="L9" s="6">
        <v>-5348.0299999999988</v>
      </c>
      <c r="M9" s="6">
        <v>-144511.804</v>
      </c>
      <c r="N9" s="6">
        <v>140251.24995610025</v>
      </c>
      <c r="O9" s="6">
        <v>11493.956590999995</v>
      </c>
      <c r="P9" s="6">
        <v>42286.777000000002</v>
      </c>
      <c r="Q9" s="6">
        <v>28997.324000000051</v>
      </c>
      <c r="R9" s="6">
        <v>9952.8429999999935</v>
      </c>
      <c r="S9" s="6">
        <v>17144.445999999996</v>
      </c>
      <c r="T9" s="6">
        <v>8234.9001144000358</v>
      </c>
      <c r="U9" s="6">
        <v>9481.4509999999718</v>
      </c>
      <c r="V9" s="6">
        <v>32963.459000000003</v>
      </c>
      <c r="W9" s="6">
        <v>-20122.886003599968</v>
      </c>
      <c r="X9" s="6">
        <v>4424.1549999999988</v>
      </c>
      <c r="Y9" s="6">
        <v>1591.7249999999913</v>
      </c>
      <c r="Z9" s="6">
        <v>9051.3360000000102</v>
      </c>
      <c r="AA9" s="6">
        <v>10893.087884799999</v>
      </c>
      <c r="AB9" s="6">
        <v>-1388.9079560999999</v>
      </c>
      <c r="AC9" s="6">
        <v>7074.6324090000126</v>
      </c>
      <c r="AD9" s="6">
        <v>1151.6948856000017</v>
      </c>
      <c r="AE9" s="6">
        <v>-2956.682996399999</v>
      </c>
      <c r="AF9" s="6">
        <v>-5.5988847999992686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23">
        <f>SUM(L7:M7)</f>
        <v>6612.9930000000004</v>
      </c>
      <c r="M12" s="23">
        <f>SUM(N7)</f>
        <v>16859.252943799998</v>
      </c>
      <c r="N12" s="23">
        <f>SUM(P7:Q7)</f>
        <v>0</v>
      </c>
      <c r="O12" s="23">
        <f>SUM(O7,R7:AA7)</f>
        <v>0.83767599999999998</v>
      </c>
      <c r="P12" s="23">
        <f>SUM(AB7:AF7)</f>
        <v>284.0723802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-149859.834</v>
      </c>
      <c r="M13" s="24">
        <f>SUM(N9)</f>
        <v>140251.24995610025</v>
      </c>
      <c r="N13" s="23">
        <f>SUM(P9:Q9)</f>
        <v>71284.101000000053</v>
      </c>
      <c r="O13" s="23">
        <f>SUM(O9,R9:AA9)</f>
        <v>95108.473586600026</v>
      </c>
      <c r="P13" s="23">
        <f>SUM(AB9:AF9)</f>
        <v>3875.1374573000162</v>
      </c>
      <c r="Q13" s="5">
        <f t="shared" si="0"/>
        <v>160659.12800000035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 x14ac:dyDescent="0.3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 x14ac:dyDescent="0.3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 x14ac:dyDescent="0.3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 x14ac:dyDescent="0.3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 x14ac:dyDescent="0.3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 x14ac:dyDescent="0.3">
      <c r="A36" t="s">
        <v>67</v>
      </c>
      <c r="G36" s="14">
        <f>SUM(B31,C32,D33,E34,F35)</f>
        <v>761603.00699999998</v>
      </c>
      <c r="H36" s="44">
        <v>761603</v>
      </c>
    </row>
    <row r="37" spans="1:16" x14ac:dyDescent="0.3">
      <c r="A37" t="s">
        <v>56</v>
      </c>
    </row>
    <row r="38" spans="1:16" x14ac:dyDescent="0.3">
      <c r="L38" t="s">
        <v>189</v>
      </c>
    </row>
    <row r="39" spans="1:16" x14ac:dyDescent="0.3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 x14ac:dyDescent="0.3">
      <c r="K40" t="s">
        <v>186</v>
      </c>
      <c r="L40" s="19">
        <f>L31-B31</f>
        <v>62840.173361680361</v>
      </c>
      <c r="M40" s="39"/>
      <c r="N40" s="39"/>
      <c r="O40" s="39"/>
      <c r="P40" s="39"/>
    </row>
    <row r="41" spans="1:16" x14ac:dyDescent="0.3">
      <c r="K41" t="s">
        <v>47</v>
      </c>
      <c r="L41" s="39"/>
      <c r="M41" s="19">
        <f>M32-C32</f>
        <v>866711.09740446298</v>
      </c>
      <c r="N41" s="39"/>
      <c r="O41" s="39"/>
      <c r="P41" s="39"/>
    </row>
    <row r="42" spans="1:16" x14ac:dyDescent="0.3">
      <c r="K42" t="s">
        <v>187</v>
      </c>
      <c r="L42" s="39"/>
      <c r="M42" s="39"/>
      <c r="N42" s="19">
        <f>N33-D33</f>
        <v>394888.99377584457</v>
      </c>
      <c r="O42" s="39"/>
      <c r="P42" s="39"/>
    </row>
    <row r="43" spans="1:16" x14ac:dyDescent="0.3">
      <c r="K43" t="s">
        <v>49</v>
      </c>
      <c r="L43" s="39"/>
      <c r="M43" s="39"/>
      <c r="N43" s="39"/>
      <c r="O43" s="19">
        <f>O34-E34</f>
        <v>1744612.806284328</v>
      </c>
      <c r="P43" s="39"/>
    </row>
    <row r="44" spans="1:16" x14ac:dyDescent="0.3">
      <c r="K44" t="s">
        <v>50</v>
      </c>
      <c r="L44" s="39"/>
      <c r="M44" s="39"/>
      <c r="N44" s="39"/>
      <c r="O44" s="39"/>
      <c r="P44" s="19">
        <f>P35-F35</f>
        <v>166202.63501579236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opLeftCell="A11" zoomScale="55" zoomScaleNormal="55" workbookViewId="0">
      <selection activeCell="J39" sqref="J39:AE59"/>
    </sheetView>
  </sheetViews>
  <sheetFormatPr defaultRowHeight="17.25" x14ac:dyDescent="0.3"/>
  <cols>
    <col min="1" max="1" width="32.88671875" bestFit="1" customWidth="1"/>
    <col min="2" max="2" width="12.77734375" bestFit="1" customWidth="1"/>
    <col min="3" max="3" width="11.109375" bestFit="1" customWidth="1"/>
    <col min="4" max="5" width="10.109375" bestFit="1" customWidth="1"/>
    <col min="6" max="6" width="12.77734375" bestFit="1" customWidth="1"/>
    <col min="7" max="8" width="11.109375" bestFit="1" customWidth="1"/>
    <col min="10" max="10" width="32.88671875" bestFit="1" customWidth="1"/>
    <col min="11" max="11" width="12.554687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61">
        <v>4399.8925362915597</v>
      </c>
      <c r="L9" s="61">
        <v>4.595819078317871</v>
      </c>
      <c r="M9" s="61">
        <v>34151.208127858197</v>
      </c>
      <c r="N9" s="61">
        <v>52.948767214549093</v>
      </c>
      <c r="O9" s="61">
        <v>12.34333360037019</v>
      </c>
      <c r="P9" s="61">
        <v>370.54982215860718</v>
      </c>
      <c r="Q9" s="61">
        <v>23.554130882614619</v>
      </c>
      <c r="R9" s="61">
        <v>9900.8620605869219</v>
      </c>
      <c r="S9" s="61">
        <v>21.583302174727461</v>
      </c>
      <c r="T9" s="61">
        <v>40.384665634092677</v>
      </c>
      <c r="U9" s="61">
        <v>10.27901285199729</v>
      </c>
      <c r="V9" s="61">
        <v>300.54460445108839</v>
      </c>
      <c r="W9" s="61">
        <v>305.9849577021115</v>
      </c>
      <c r="X9" s="61">
        <v>94.424077784164012</v>
      </c>
      <c r="Y9" s="61">
        <v>1201.4178221376139</v>
      </c>
      <c r="Z9" s="61">
        <v>227.72775992896089</v>
      </c>
      <c r="AA9" s="61">
        <v>2.1754775517774059</v>
      </c>
      <c r="AB9" s="61">
        <v>32.583720087248949</v>
      </c>
      <c r="AC9" s="61">
        <v>3.4735086099283681</v>
      </c>
      <c r="AD9" s="61">
        <v>146.9094558592995</v>
      </c>
      <c r="AE9" s="61">
        <v>5.6445514287794039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61">
        <v>13.55301229708304</v>
      </c>
      <c r="L10" s="61">
        <v>52.103521488821173</v>
      </c>
      <c r="M10" s="61">
        <v>86425.511568539645</v>
      </c>
      <c r="N10" s="61">
        <v>0</v>
      </c>
      <c r="O10" s="61">
        <v>13528.249700657399</v>
      </c>
      <c r="P10" s="61">
        <v>5209.0495338892588</v>
      </c>
      <c r="Q10" s="61">
        <v>0</v>
      </c>
      <c r="R10" s="61">
        <v>53.289598891698972</v>
      </c>
      <c r="S10" s="61">
        <v>0</v>
      </c>
      <c r="T10" s="61">
        <v>0</v>
      </c>
      <c r="U10" s="61">
        <v>3.3532416433298211</v>
      </c>
      <c r="V10" s="61">
        <v>274.47033001050818</v>
      </c>
      <c r="W10" s="61">
        <v>132.3575922001996</v>
      </c>
      <c r="X10" s="61">
        <v>2.3675574461285982</v>
      </c>
      <c r="Y10" s="61">
        <v>216.99016572125231</v>
      </c>
      <c r="Z10" s="61">
        <v>53.065372498255932</v>
      </c>
      <c r="AA10" s="61">
        <v>0</v>
      </c>
      <c r="AB10" s="61">
        <v>0</v>
      </c>
      <c r="AC10" s="61">
        <v>0</v>
      </c>
      <c r="AD10" s="61">
        <v>13.86302286233061</v>
      </c>
      <c r="AE10" s="61">
        <v>0</v>
      </c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61">
        <v>16897.381419499161</v>
      </c>
      <c r="L11" s="61">
        <v>650.53391358742203</v>
      </c>
      <c r="M11" s="61">
        <v>587783.46752039006</v>
      </c>
      <c r="N11" s="61">
        <v>11759.512945019551</v>
      </c>
      <c r="O11" s="61">
        <v>13534.373262982441</v>
      </c>
      <c r="P11" s="61">
        <v>99312.19844065464</v>
      </c>
      <c r="Q11" s="61">
        <v>34686.050308873557</v>
      </c>
      <c r="R11" s="61">
        <v>53938.538451631743</v>
      </c>
      <c r="S11" s="61">
        <v>5825.7453970016468</v>
      </c>
      <c r="T11" s="61">
        <v>4066.1926153041309</v>
      </c>
      <c r="U11" s="61">
        <v>4076.523936968505</v>
      </c>
      <c r="V11" s="61">
        <v>30961.269596950679</v>
      </c>
      <c r="W11" s="61">
        <v>8964.7064115059184</v>
      </c>
      <c r="X11" s="61">
        <v>7436.7775668974064</v>
      </c>
      <c r="Y11" s="61">
        <v>33067.791454995349</v>
      </c>
      <c r="Z11" s="61">
        <v>24145.488682955671</v>
      </c>
      <c r="AA11" s="61">
        <v>7608.8745034690519</v>
      </c>
      <c r="AB11" s="61">
        <v>7236.5929996122231</v>
      </c>
      <c r="AC11" s="61">
        <v>1427.934437400668</v>
      </c>
      <c r="AD11" s="61">
        <v>2254.4478950818252</v>
      </c>
      <c r="AE11" s="61">
        <v>296.6923565351841</v>
      </c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61">
        <v>1434.7420803751941</v>
      </c>
      <c r="L12" s="61">
        <v>34.535819990649863</v>
      </c>
      <c r="M12" s="61">
        <v>40784.105784605897</v>
      </c>
      <c r="N12" s="61">
        <v>4578.2749018617669</v>
      </c>
      <c r="O12" s="61">
        <v>782.84368819104895</v>
      </c>
      <c r="P12" s="61">
        <v>5290.1345882471614</v>
      </c>
      <c r="Q12" s="61">
        <v>1824.762433276059</v>
      </c>
      <c r="R12" s="61">
        <v>8846.7199602972123</v>
      </c>
      <c r="S12" s="61">
        <v>5254.7958376311826</v>
      </c>
      <c r="T12" s="61">
        <v>609.37427825223483</v>
      </c>
      <c r="U12" s="61">
        <v>417.44332995206838</v>
      </c>
      <c r="V12" s="61">
        <v>3223.4382151611871</v>
      </c>
      <c r="W12" s="61">
        <v>1061.2076612610681</v>
      </c>
      <c r="X12" s="61">
        <v>1226.6855234685829</v>
      </c>
      <c r="Y12" s="61">
        <v>7364.5907773960698</v>
      </c>
      <c r="Z12" s="61">
        <v>3255.0735756357071</v>
      </c>
      <c r="AA12" s="61">
        <v>643.00438520253215</v>
      </c>
      <c r="AB12" s="61">
        <v>2817.388123131826</v>
      </c>
      <c r="AC12" s="61">
        <v>302.58145976000532</v>
      </c>
      <c r="AD12" s="61">
        <v>276.95857812814018</v>
      </c>
      <c r="AE12" s="61">
        <v>45.979079224954539</v>
      </c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61">
        <v>896.20175427808135</v>
      </c>
      <c r="L13" s="61">
        <v>104.9913345748926</v>
      </c>
      <c r="M13" s="61">
        <v>36856.000415372713</v>
      </c>
      <c r="N13" s="61">
        <v>2447.7355756366551</v>
      </c>
      <c r="O13" s="61">
        <v>17510.7674407706</v>
      </c>
      <c r="P13" s="61">
        <v>1066.7279455719211</v>
      </c>
      <c r="Q13" s="61">
        <v>2644.0293678603521</v>
      </c>
      <c r="R13" s="61">
        <v>5277.9853829333724</v>
      </c>
      <c r="S13" s="61">
        <v>1286.4357248048971</v>
      </c>
      <c r="T13" s="61">
        <v>1457.5121219962309</v>
      </c>
      <c r="U13" s="61">
        <v>3313.2084655834469</v>
      </c>
      <c r="V13" s="61">
        <v>8144.8039048855162</v>
      </c>
      <c r="W13" s="61">
        <v>1772.192638391813</v>
      </c>
      <c r="X13" s="61">
        <v>3961.084803428173</v>
      </c>
      <c r="Y13" s="61">
        <v>5231.4431966375278</v>
      </c>
      <c r="Z13" s="61">
        <v>2740.938510115483</v>
      </c>
      <c r="AA13" s="61">
        <v>187.48777240381551</v>
      </c>
      <c r="AB13" s="61">
        <v>1506.2924981987369</v>
      </c>
      <c r="AC13" s="61">
        <v>162.91789682967169</v>
      </c>
      <c r="AD13" s="61">
        <v>555.491290869767</v>
      </c>
      <c r="AE13" s="61">
        <v>45.673412812529719</v>
      </c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61">
        <v>92.781334333772449</v>
      </c>
      <c r="L14" s="61">
        <v>18.649591411959861</v>
      </c>
      <c r="M14" s="61">
        <v>1358.030755192133</v>
      </c>
      <c r="N14" s="61">
        <v>221.47521254444311</v>
      </c>
      <c r="O14" s="61">
        <v>676.93318657045268</v>
      </c>
      <c r="P14" s="61">
        <v>102.4465760431686</v>
      </c>
      <c r="Q14" s="61">
        <v>254.15502812639269</v>
      </c>
      <c r="R14" s="61">
        <v>400.52399044539402</v>
      </c>
      <c r="S14" s="61">
        <v>273.19016015640273</v>
      </c>
      <c r="T14" s="61">
        <v>108.6483707976421</v>
      </c>
      <c r="U14" s="61">
        <v>11340.565995236981</v>
      </c>
      <c r="V14" s="61">
        <v>770.19638327444841</v>
      </c>
      <c r="W14" s="61">
        <v>967.10239176741106</v>
      </c>
      <c r="X14" s="61">
        <v>203.7485434537993</v>
      </c>
      <c r="Y14" s="61">
        <v>135.3566364860468</v>
      </c>
      <c r="Z14" s="61">
        <v>268.19201910130272</v>
      </c>
      <c r="AA14" s="61">
        <v>16.44947140570812</v>
      </c>
      <c r="AB14" s="61">
        <v>136.29186686388371</v>
      </c>
      <c r="AC14" s="61">
        <v>37.215212440911202</v>
      </c>
      <c r="AD14" s="61">
        <v>91.457023615335871</v>
      </c>
      <c r="AE14" s="61">
        <v>3.863844224715141</v>
      </c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61">
        <v>734.93458916293116</v>
      </c>
      <c r="L15" s="61">
        <v>610.63005468460426</v>
      </c>
      <c r="M15" s="61">
        <v>45869.752084368272</v>
      </c>
      <c r="N15" s="61">
        <v>13382.45366733958</v>
      </c>
      <c r="O15" s="61">
        <v>1929.0272198018549</v>
      </c>
      <c r="P15" s="61">
        <v>2475.95197886306</v>
      </c>
      <c r="Q15" s="61">
        <v>10727.404017793369</v>
      </c>
      <c r="R15" s="61">
        <v>1180.199737575638</v>
      </c>
      <c r="S15" s="61">
        <v>1811.93011305242</v>
      </c>
      <c r="T15" s="61">
        <v>873.49219587467564</v>
      </c>
      <c r="U15" s="61">
        <v>614.88296122961049</v>
      </c>
      <c r="V15" s="61">
        <v>4834.3962342709347</v>
      </c>
      <c r="W15" s="61">
        <v>2436.6350883187711</v>
      </c>
      <c r="X15" s="61">
        <v>470.53849276614369</v>
      </c>
      <c r="Y15" s="61">
        <v>613.68536286892095</v>
      </c>
      <c r="Z15" s="61">
        <v>1226.8945434165089</v>
      </c>
      <c r="AA15" s="61">
        <v>535.80344175788503</v>
      </c>
      <c r="AB15" s="61">
        <v>8235.3215630174964</v>
      </c>
      <c r="AC15" s="61">
        <v>859.86785576632701</v>
      </c>
      <c r="AD15" s="61">
        <v>738.89596762086717</v>
      </c>
      <c r="AE15" s="61">
        <v>69.730899293511328</v>
      </c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61">
        <v>574.05218022879853</v>
      </c>
      <c r="L16" s="61">
        <v>95.083653152476074</v>
      </c>
      <c r="M16" s="61">
        <v>11376.270465166141</v>
      </c>
      <c r="N16" s="61">
        <v>7706.1360845616982</v>
      </c>
      <c r="O16" s="61">
        <v>1011.9743999922</v>
      </c>
      <c r="P16" s="61">
        <v>1162.344119763256</v>
      </c>
      <c r="Q16" s="61">
        <v>2138.9598387787291</v>
      </c>
      <c r="R16" s="61">
        <v>1909.8267769751981</v>
      </c>
      <c r="S16" s="61">
        <v>1949.2838776895269</v>
      </c>
      <c r="T16" s="61">
        <v>4783.4887137908736</v>
      </c>
      <c r="U16" s="61">
        <v>1805.285088482598</v>
      </c>
      <c r="V16" s="61">
        <v>10793.696724999631</v>
      </c>
      <c r="W16" s="61">
        <v>2846.4942496021531</v>
      </c>
      <c r="X16" s="61">
        <v>8077.0012305861856</v>
      </c>
      <c r="Y16" s="61">
        <v>6079.2207823652016</v>
      </c>
      <c r="Z16" s="61">
        <v>5217.1398014234064</v>
      </c>
      <c r="AA16" s="61">
        <v>220.783517515971</v>
      </c>
      <c r="AB16" s="61">
        <v>4742.2177010499381</v>
      </c>
      <c r="AC16" s="61">
        <v>470.2487910799756</v>
      </c>
      <c r="AD16" s="61">
        <v>979.26108864238961</v>
      </c>
      <c r="AE16" s="61">
        <v>823.23291180076058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61">
        <v>194.901602973705</v>
      </c>
      <c r="L17" s="61">
        <v>15.372619787189951</v>
      </c>
      <c r="M17" s="61">
        <v>3865.0274124078092</v>
      </c>
      <c r="N17" s="61">
        <v>6085.8100429155302</v>
      </c>
      <c r="O17" s="61">
        <v>391.47804167182647</v>
      </c>
      <c r="P17" s="61">
        <v>409.0250862035528</v>
      </c>
      <c r="Q17" s="61">
        <v>1497.9008423010221</v>
      </c>
      <c r="R17" s="61">
        <v>1356.0073794298719</v>
      </c>
      <c r="S17" s="61">
        <v>11137.816103502149</v>
      </c>
      <c r="T17" s="61">
        <v>6908.440685996251</v>
      </c>
      <c r="U17" s="61">
        <v>880.8596665867276</v>
      </c>
      <c r="V17" s="61">
        <v>14932.32970020318</v>
      </c>
      <c r="W17" s="61">
        <v>1929.9091886403239</v>
      </c>
      <c r="X17" s="61">
        <v>2569.3854932800582</v>
      </c>
      <c r="Y17" s="61">
        <v>556.71483736227458</v>
      </c>
      <c r="Z17" s="61">
        <v>2378.6846657846208</v>
      </c>
      <c r="AA17" s="61">
        <v>73.885628900156448</v>
      </c>
      <c r="AB17" s="61">
        <v>3745.0981651569518</v>
      </c>
      <c r="AC17" s="61">
        <v>1912.952086196856</v>
      </c>
      <c r="AD17" s="61">
        <v>520.69821869943905</v>
      </c>
      <c r="AE17" s="61">
        <v>156.8595089559536</v>
      </c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61">
        <v>1192.4667434046869</v>
      </c>
      <c r="L18" s="61">
        <v>183.74433983156871</v>
      </c>
      <c r="M18" s="61">
        <v>17826.51517021902</v>
      </c>
      <c r="N18" s="61">
        <v>5055.4393146090524</v>
      </c>
      <c r="O18" s="61">
        <v>2201.775815216175</v>
      </c>
      <c r="P18" s="61">
        <v>5228.5485444992883</v>
      </c>
      <c r="Q18" s="61">
        <v>2439.808082682589</v>
      </c>
      <c r="R18" s="61">
        <v>3216.59029063347</v>
      </c>
      <c r="S18" s="61">
        <v>1432.626386847169</v>
      </c>
      <c r="T18" s="61">
        <v>27484.407451894898</v>
      </c>
      <c r="U18" s="61">
        <v>20920.60284047082</v>
      </c>
      <c r="V18" s="61">
        <v>4992.0108455156051</v>
      </c>
      <c r="W18" s="61">
        <v>4869.1561123593974</v>
      </c>
      <c r="X18" s="61">
        <v>1667.1934887439961</v>
      </c>
      <c r="Y18" s="61">
        <v>3714.0318158306218</v>
      </c>
      <c r="Z18" s="61">
        <v>2022.146393363857</v>
      </c>
      <c r="AA18" s="61">
        <v>290.73941963355782</v>
      </c>
      <c r="AB18" s="61">
        <v>3111.0265301896488</v>
      </c>
      <c r="AC18" s="61">
        <v>347.67788214190011</v>
      </c>
      <c r="AD18" s="61">
        <v>249.86959279520221</v>
      </c>
      <c r="AE18" s="61">
        <v>126.22346661376601</v>
      </c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61">
        <v>67.541987317464006</v>
      </c>
      <c r="L19" s="61">
        <v>7.7504216679453029</v>
      </c>
      <c r="M19" s="61">
        <v>3764.5172795967842</v>
      </c>
      <c r="N19" s="61">
        <v>10006.954869670561</v>
      </c>
      <c r="O19" s="61">
        <v>628.99999970526358</v>
      </c>
      <c r="P19" s="61">
        <v>815.71219229794497</v>
      </c>
      <c r="Q19" s="61">
        <v>1591.29527282189</v>
      </c>
      <c r="R19" s="61">
        <v>11653.797403394041</v>
      </c>
      <c r="S19" s="61">
        <v>1318.8820450919809</v>
      </c>
      <c r="T19" s="61">
        <v>7630.5792754404074</v>
      </c>
      <c r="U19" s="61">
        <v>8786.5637495417468</v>
      </c>
      <c r="V19" s="61">
        <v>7664.8102609375437</v>
      </c>
      <c r="W19" s="61">
        <v>688.52296732661034</v>
      </c>
      <c r="X19" s="61">
        <v>2303.5703077290291</v>
      </c>
      <c r="Y19" s="61">
        <v>4148.7211892527503</v>
      </c>
      <c r="Z19" s="61">
        <v>2269.7478052748811</v>
      </c>
      <c r="AA19" s="61">
        <v>72.487704415767382</v>
      </c>
      <c r="AB19" s="61">
        <v>6158.1002458068133</v>
      </c>
      <c r="AC19" s="61">
        <v>411.73977838674273</v>
      </c>
      <c r="AD19" s="61">
        <v>421.56216438646322</v>
      </c>
      <c r="AE19" s="61">
        <v>188.4325151468671</v>
      </c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61">
        <v>1300.3982889420031</v>
      </c>
      <c r="L20" s="61">
        <v>400.23939632920951</v>
      </c>
      <c r="M20" s="61">
        <v>57542.319400977824</v>
      </c>
      <c r="N20" s="61">
        <v>13541.818483263311</v>
      </c>
      <c r="O20" s="61">
        <v>4960.1531143394805</v>
      </c>
      <c r="P20" s="61">
        <v>21520.78728193025</v>
      </c>
      <c r="Q20" s="61">
        <v>9744.8435996441876</v>
      </c>
      <c r="R20" s="61">
        <v>5190.3033342482304</v>
      </c>
      <c r="S20" s="61">
        <v>10418.84094718573</v>
      </c>
      <c r="T20" s="61">
        <v>13336.27454185346</v>
      </c>
      <c r="U20" s="61">
        <v>13680.615822918669</v>
      </c>
      <c r="V20" s="61">
        <v>28131.20119571027</v>
      </c>
      <c r="W20" s="61">
        <v>5403.9066189092864</v>
      </c>
      <c r="X20" s="61">
        <v>4885.9303499595062</v>
      </c>
      <c r="Y20" s="61">
        <v>3173.5144325496399</v>
      </c>
      <c r="Z20" s="61">
        <v>4865.2639813688638</v>
      </c>
      <c r="AA20" s="61">
        <v>482.37242480144442</v>
      </c>
      <c r="AB20" s="61">
        <v>8333.3918076517984</v>
      </c>
      <c r="AC20" s="61">
        <v>1747.245109425869</v>
      </c>
      <c r="AD20" s="61">
        <v>1903.996388165524</v>
      </c>
      <c r="AE20" s="61">
        <v>183.66298673524639</v>
      </c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25.568584900729899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2978.9887871990222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61">
        <v>3.4566102372133658</v>
      </c>
      <c r="L22" s="61">
        <v>0.69994730576305153</v>
      </c>
      <c r="M22" s="61">
        <v>621.80299700007527</v>
      </c>
      <c r="N22" s="61">
        <v>362.8720663709455</v>
      </c>
      <c r="O22" s="61">
        <v>42.478027895793048</v>
      </c>
      <c r="P22" s="61">
        <v>53.767765359557558</v>
      </c>
      <c r="Q22" s="61">
        <v>53.383702687270713</v>
      </c>
      <c r="R22" s="61">
        <v>80.358823163366864</v>
      </c>
      <c r="S22" s="61">
        <v>80.856553549001731</v>
      </c>
      <c r="T22" s="61">
        <v>286.78031986012502</v>
      </c>
      <c r="U22" s="61">
        <v>96.154439248053848</v>
      </c>
      <c r="V22" s="61">
        <v>290.89712513942533</v>
      </c>
      <c r="W22" s="61">
        <v>5.6672485013011764</v>
      </c>
      <c r="X22" s="61">
        <v>46.814090731110227</v>
      </c>
      <c r="Y22" s="61">
        <v>15.972534255088361</v>
      </c>
      <c r="Z22" s="61">
        <v>79.860160624145678</v>
      </c>
      <c r="AA22" s="61">
        <v>6.9480413283503486</v>
      </c>
      <c r="AB22" s="61">
        <v>223.3049504288316</v>
      </c>
      <c r="AC22" s="61">
        <v>10.23988949654046</v>
      </c>
      <c r="AD22" s="61">
        <v>21.293190247080361</v>
      </c>
      <c r="AE22" s="61">
        <v>7.2457366184328293</v>
      </c>
    </row>
    <row r="23" spans="1:31" x14ac:dyDescent="0.3">
      <c r="J23" s="1" t="s">
        <v>33</v>
      </c>
      <c r="K23" s="61">
        <v>133.24541915181379</v>
      </c>
      <c r="L23" s="61">
        <v>12.061762648368379</v>
      </c>
      <c r="M23" s="61">
        <v>1680.5673546062651</v>
      </c>
      <c r="N23" s="61">
        <v>703.37773401800871</v>
      </c>
      <c r="O23" s="61">
        <v>179.83158493967139</v>
      </c>
      <c r="P23" s="61">
        <v>448.63844176554193</v>
      </c>
      <c r="Q23" s="61">
        <v>211.73667566332759</v>
      </c>
      <c r="R23" s="61">
        <v>660.20637337845301</v>
      </c>
      <c r="S23" s="61">
        <v>187.2438192771618</v>
      </c>
      <c r="T23" s="61">
        <v>559.63160704708662</v>
      </c>
      <c r="U23" s="61">
        <v>186.72117109863299</v>
      </c>
      <c r="V23" s="61">
        <v>806.68414537659839</v>
      </c>
      <c r="W23" s="61">
        <v>104.16620032120819</v>
      </c>
      <c r="X23" s="61">
        <v>269.5740252167862</v>
      </c>
      <c r="Y23" s="61">
        <v>835.10784948330911</v>
      </c>
      <c r="Z23" s="61">
        <v>295.23355713019248</v>
      </c>
      <c r="AA23" s="61">
        <v>22.10798514458692</v>
      </c>
      <c r="AB23" s="61">
        <v>432.84602090884857</v>
      </c>
      <c r="AC23" s="61">
        <v>45.103477697987337</v>
      </c>
      <c r="AD23" s="61">
        <v>65.203735330179313</v>
      </c>
      <c r="AE23" s="61">
        <v>13.44478450039639</v>
      </c>
    </row>
    <row r="24" spans="1:31" x14ac:dyDescent="0.3">
      <c r="J24" s="1" t="s">
        <v>34</v>
      </c>
      <c r="K24" s="61">
        <v>490.08985496816263</v>
      </c>
      <c r="L24" s="61">
        <v>57.080221819296177</v>
      </c>
      <c r="M24" s="61">
        <v>5468.0998233211803</v>
      </c>
      <c r="N24" s="61">
        <v>1329.0974655317041</v>
      </c>
      <c r="O24" s="61">
        <v>535.07511820256696</v>
      </c>
      <c r="P24" s="61">
        <v>807.49866542456061</v>
      </c>
      <c r="Q24" s="61">
        <v>3530.459380998022</v>
      </c>
      <c r="R24" s="61">
        <v>808.68239988480138</v>
      </c>
      <c r="S24" s="61">
        <v>1670.380224100669</v>
      </c>
      <c r="T24" s="61">
        <v>1085.6008991835261</v>
      </c>
      <c r="U24" s="61">
        <v>852.63340269672392</v>
      </c>
      <c r="V24" s="61">
        <v>3575.7454794785908</v>
      </c>
      <c r="W24" s="61">
        <v>244.44581556513589</v>
      </c>
      <c r="X24" s="61">
        <v>1217.4934015496281</v>
      </c>
      <c r="Y24" s="61">
        <v>1080.3192946531569</v>
      </c>
      <c r="Z24" s="61">
        <v>2793.2952563889198</v>
      </c>
      <c r="AA24" s="61">
        <v>76.462133857874633</v>
      </c>
      <c r="AB24" s="61">
        <v>817.90270224946596</v>
      </c>
      <c r="AC24" s="61">
        <v>290.59676007160078</v>
      </c>
      <c r="AD24" s="61">
        <v>182.40525652864011</v>
      </c>
      <c r="AE24" s="61">
        <v>98.91347934003015</v>
      </c>
    </row>
    <row r="25" spans="1:31" x14ac:dyDescent="0.3">
      <c r="J25" s="1" t="s">
        <v>35</v>
      </c>
      <c r="K25" s="61">
        <v>45.605228894145768</v>
      </c>
      <c r="L25" s="61">
        <v>2.5403024282621001</v>
      </c>
      <c r="M25" s="61">
        <v>5026.7256007565666</v>
      </c>
      <c r="N25" s="61">
        <v>442.99665575269478</v>
      </c>
      <c r="O25" s="61">
        <v>429.84036324355242</v>
      </c>
      <c r="P25" s="61">
        <v>532.29112035122557</v>
      </c>
      <c r="Q25" s="61">
        <v>363.71463689382608</v>
      </c>
      <c r="R25" s="61">
        <v>138.83656457905201</v>
      </c>
      <c r="S25" s="61">
        <v>646.93767522091571</v>
      </c>
      <c r="T25" s="61">
        <v>1201.327007833846</v>
      </c>
      <c r="U25" s="61">
        <v>106.0989552728491</v>
      </c>
      <c r="V25" s="61">
        <v>2632.84578936753</v>
      </c>
      <c r="W25" s="61">
        <v>517.64513886880309</v>
      </c>
      <c r="X25" s="61">
        <v>596.45103108985677</v>
      </c>
      <c r="Y25" s="61">
        <v>563.15246454478972</v>
      </c>
      <c r="Z25" s="61">
        <v>691.78191464669635</v>
      </c>
      <c r="AA25" s="61">
        <v>1329.65037949816</v>
      </c>
      <c r="AB25" s="61">
        <v>272.61218324771272</v>
      </c>
      <c r="AC25" s="61">
        <v>268.93630012863622</v>
      </c>
      <c r="AD25" s="61">
        <v>721.29587844171817</v>
      </c>
      <c r="AE25" s="61">
        <v>53.100030298439968</v>
      </c>
    </row>
    <row r="26" spans="1:31" x14ac:dyDescent="0.3">
      <c r="J26" s="1" t="s">
        <v>36</v>
      </c>
      <c r="K26" s="61">
        <v>878.90071968715642</v>
      </c>
      <c r="L26" s="61">
        <v>21.156107052238031</v>
      </c>
      <c r="M26" s="61">
        <v>24983.709905904299</v>
      </c>
      <c r="N26" s="61">
        <v>2804.5801131864018</v>
      </c>
      <c r="O26" s="61">
        <v>479.55788734775729</v>
      </c>
      <c r="P26" s="61">
        <v>3240.654303271338</v>
      </c>
      <c r="Q26" s="61">
        <v>1117.821131617615</v>
      </c>
      <c r="R26" s="61">
        <v>5419.3632753440024</v>
      </c>
      <c r="S26" s="61">
        <v>3219.006333385978</v>
      </c>
      <c r="T26" s="61">
        <v>373.29322046139077</v>
      </c>
      <c r="U26" s="61">
        <v>255.71930184659431</v>
      </c>
      <c r="V26" s="61">
        <v>1974.6281968891369</v>
      </c>
      <c r="W26" s="61">
        <v>650.07933480000145</v>
      </c>
      <c r="X26" s="61">
        <v>751.44850363935279</v>
      </c>
      <c r="Y26" s="61">
        <v>4511.4339524788493</v>
      </c>
      <c r="Z26" s="61">
        <v>1994.0075274802771</v>
      </c>
      <c r="AA26" s="61">
        <v>393.89450176907133</v>
      </c>
      <c r="AB26" s="61">
        <v>1725.8882156792081</v>
      </c>
      <c r="AC26" s="61">
        <v>185.3567037481148</v>
      </c>
      <c r="AD26" s="61">
        <v>169.66052433389211</v>
      </c>
      <c r="AE26" s="61">
        <v>28.166069967640318</v>
      </c>
    </row>
    <row r="27" spans="1:31" x14ac:dyDescent="0.3">
      <c r="J27" s="1" t="s">
        <v>37</v>
      </c>
      <c r="K27" s="61">
        <v>22.825944605169539</v>
      </c>
      <c r="L27" s="61">
        <v>3.9288492693452932</v>
      </c>
      <c r="M27" s="61">
        <v>1305.874248241066</v>
      </c>
      <c r="N27" s="61">
        <v>534.31784710219972</v>
      </c>
      <c r="O27" s="61">
        <v>136.68502400538389</v>
      </c>
      <c r="P27" s="61">
        <v>111.45841224941761</v>
      </c>
      <c r="Q27" s="61">
        <v>378.28165031982348</v>
      </c>
      <c r="R27" s="61">
        <v>127.97668018739451</v>
      </c>
      <c r="S27" s="61">
        <v>2608.366444830478</v>
      </c>
      <c r="T27" s="61">
        <v>2585.0176487578528</v>
      </c>
      <c r="U27" s="61">
        <v>196.44319150081651</v>
      </c>
      <c r="V27" s="61">
        <v>4171.0992546565994</v>
      </c>
      <c r="W27" s="61">
        <v>718.27194805587771</v>
      </c>
      <c r="X27" s="61">
        <v>682.1854412769751</v>
      </c>
      <c r="Y27" s="61">
        <v>195.77742430232951</v>
      </c>
      <c r="Z27" s="61">
        <v>374.09855333799578</v>
      </c>
      <c r="AA27" s="61">
        <v>29.004325944283341</v>
      </c>
      <c r="AB27" s="61">
        <v>328.80960376384172</v>
      </c>
      <c r="AC27" s="61">
        <v>1045.526557163435</v>
      </c>
      <c r="AD27" s="61">
        <v>187.3816661852691</v>
      </c>
      <c r="AE27" s="61">
        <v>31.71043452465619</v>
      </c>
    </row>
    <row r="28" spans="1:31" x14ac:dyDescent="0.3">
      <c r="J28" s="1" t="s">
        <v>38</v>
      </c>
      <c r="K28" s="61">
        <v>33.494521757010233</v>
      </c>
      <c r="L28" s="61">
        <v>19.995220652891799</v>
      </c>
      <c r="M28" s="61">
        <v>5749.4200509593929</v>
      </c>
      <c r="N28" s="61">
        <v>162.28290496012289</v>
      </c>
      <c r="O28" s="61">
        <v>523.73534031641987</v>
      </c>
      <c r="P28" s="61">
        <v>9266.1078106362365</v>
      </c>
      <c r="Q28" s="61">
        <v>118.6373472721544</v>
      </c>
      <c r="R28" s="61">
        <v>200.2835611784925</v>
      </c>
      <c r="S28" s="61">
        <v>504.05039909200099</v>
      </c>
      <c r="T28" s="61">
        <v>124.3288390562396</v>
      </c>
      <c r="U28" s="61">
        <v>146.69956629357051</v>
      </c>
      <c r="V28" s="61">
        <v>1366.882414271181</v>
      </c>
      <c r="W28" s="61">
        <v>471.74109822745743</v>
      </c>
      <c r="X28" s="61">
        <v>273.81830876898039</v>
      </c>
      <c r="Y28" s="61">
        <v>209.94316618693031</v>
      </c>
      <c r="Z28" s="61">
        <v>39.715607028113311</v>
      </c>
      <c r="AA28" s="61">
        <v>54.636246344483553</v>
      </c>
      <c r="AB28" s="61">
        <v>99.86598420205307</v>
      </c>
      <c r="AC28" s="61">
        <v>76.285919115046767</v>
      </c>
      <c r="AD28" s="61">
        <v>516.33320226487047</v>
      </c>
      <c r="AE28" s="61">
        <v>2.126112020236131</v>
      </c>
    </row>
    <row r="29" spans="1:31" x14ac:dyDescent="0.3">
      <c r="J29" s="1" t="s">
        <v>39</v>
      </c>
      <c r="K29" s="61">
        <v>27.63248379662188</v>
      </c>
      <c r="L29" s="61">
        <v>2.8155216387624682</v>
      </c>
      <c r="M29" s="61">
        <v>784.574908215601</v>
      </c>
      <c r="N29" s="61">
        <v>262.84418592846328</v>
      </c>
      <c r="O29" s="61">
        <v>57.049156649823622</v>
      </c>
      <c r="P29" s="61">
        <v>90.507397839762859</v>
      </c>
      <c r="Q29" s="61">
        <v>257.35659964439668</v>
      </c>
      <c r="R29" s="61">
        <v>117.0250941394159</v>
      </c>
      <c r="S29" s="61">
        <v>99.828357588677818</v>
      </c>
      <c r="T29" s="61">
        <v>480.38253374910602</v>
      </c>
      <c r="U29" s="61">
        <v>69.622535853551128</v>
      </c>
      <c r="V29" s="61">
        <v>628.31402800772389</v>
      </c>
      <c r="W29" s="61">
        <v>127.5167395953288</v>
      </c>
      <c r="X29" s="61">
        <v>497.25738527672149</v>
      </c>
      <c r="Y29" s="61">
        <v>95.948899532648696</v>
      </c>
      <c r="Z29" s="61">
        <v>125.3388134036193</v>
      </c>
      <c r="AA29" s="61">
        <v>5.7944570468867314</v>
      </c>
      <c r="AB29" s="61">
        <v>161.74958986581771</v>
      </c>
      <c r="AC29" s="61">
        <v>26.91158448050702</v>
      </c>
      <c r="AD29" s="61">
        <v>48.127602615392071</v>
      </c>
      <c r="AE29" s="61">
        <v>18.855301543156301</v>
      </c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51</v>
      </c>
      <c r="B31" s="39">
        <f t="array" ref="B31:F35">MMULT(K31:AE35,B2:F22)</f>
        <v>4470.144889155782</v>
      </c>
      <c r="C31" s="39">
        <v>120576.71969639783</v>
      </c>
      <c r="D31" s="39">
        <v>19120.192390305638</v>
      </c>
      <c r="E31" s="39">
        <v>12915.605019760216</v>
      </c>
      <c r="F31" s="39">
        <v>204.64973639936423</v>
      </c>
      <c r="G31" s="11">
        <f>SUM(B31:F31)</f>
        <v>157287.31173201883</v>
      </c>
      <c r="K31" s="11">
        <f t="array" ref="K31:AE35">MMULT(L2:AF6,K9:AE29)</f>
        <v>4413.4455485886429</v>
      </c>
      <c r="L31" s="11">
        <v>56.699340567139046</v>
      </c>
      <c r="M31" s="11">
        <v>120576.71969639783</v>
      </c>
      <c r="N31" s="11">
        <v>52.948767214549093</v>
      </c>
      <c r="O31" s="11">
        <v>13540.59303425777</v>
      </c>
      <c r="P31" s="11">
        <v>5579.5993560478655</v>
      </c>
      <c r="Q31" s="11">
        <v>23.554130882614619</v>
      </c>
      <c r="R31" s="11">
        <v>9954.1516594786208</v>
      </c>
      <c r="S31" s="11">
        <v>21.583302174727461</v>
      </c>
      <c r="T31" s="11">
        <v>40.384665634092677</v>
      </c>
      <c r="U31" s="11">
        <v>13.632254495327111</v>
      </c>
      <c r="V31" s="11">
        <v>575.01493446159657</v>
      </c>
      <c r="W31" s="11">
        <v>438.34254990231113</v>
      </c>
      <c r="X31" s="11">
        <v>96.791635230292613</v>
      </c>
      <c r="Y31" s="11">
        <v>1418.4079878588664</v>
      </c>
      <c r="Z31" s="11">
        <v>280.79313242721685</v>
      </c>
      <c r="AA31" s="11">
        <v>2.1754775517774059</v>
      </c>
      <c r="AB31" s="11">
        <v>32.583720087248949</v>
      </c>
      <c r="AC31" s="11">
        <v>3.4735086099283681</v>
      </c>
      <c r="AD31" s="11">
        <v>160.77247872163011</v>
      </c>
      <c r="AE31" s="11">
        <v>5.6445514287794039</v>
      </c>
    </row>
    <row r="32" spans="1:31" x14ac:dyDescent="0.3">
      <c r="A32" t="s">
        <v>52</v>
      </c>
      <c r="B32" s="39">
        <v>17547.915333086585</v>
      </c>
      <c r="C32" s="39">
        <v>587783.46752039006</v>
      </c>
      <c r="D32" s="39">
        <v>112846.57170363708</v>
      </c>
      <c r="E32" s="39">
        <v>218928.59736810415</v>
      </c>
      <c r="F32" s="39">
        <v>18824.542192098954</v>
      </c>
      <c r="G32" s="11">
        <f t="shared" ref="G32:G35" si="0">SUM(B32:F32)</f>
        <v>955931.09411731688</v>
      </c>
      <c r="K32" s="11">
        <v>16897.381419499161</v>
      </c>
      <c r="L32" s="11">
        <v>650.53391358742203</v>
      </c>
      <c r="M32" s="11">
        <v>587783.46752039006</v>
      </c>
      <c r="N32" s="11">
        <v>11759.512945019551</v>
      </c>
      <c r="O32" s="11">
        <v>13534.373262982441</v>
      </c>
      <c r="P32" s="11">
        <v>99312.19844065464</v>
      </c>
      <c r="Q32" s="11">
        <v>34686.050308873557</v>
      </c>
      <c r="R32" s="11">
        <v>53938.538451631743</v>
      </c>
      <c r="S32" s="11">
        <v>5825.7453970016468</v>
      </c>
      <c r="T32" s="11">
        <v>4066.1926153041309</v>
      </c>
      <c r="U32" s="11">
        <v>4076.523936968505</v>
      </c>
      <c r="V32" s="11">
        <v>30961.269596950679</v>
      </c>
      <c r="W32" s="11">
        <v>8964.7064115059184</v>
      </c>
      <c r="X32" s="11">
        <v>7436.7775668974064</v>
      </c>
      <c r="Y32" s="11">
        <v>33067.791454995349</v>
      </c>
      <c r="Z32" s="11">
        <v>24145.488682955671</v>
      </c>
      <c r="AA32" s="11">
        <v>7608.8745034690519</v>
      </c>
      <c r="AB32" s="11">
        <v>7236.5929996122231</v>
      </c>
      <c r="AC32" s="11">
        <v>1427.934437400668</v>
      </c>
      <c r="AD32" s="11">
        <v>2254.4478950818252</v>
      </c>
      <c r="AE32" s="11">
        <v>296.6923565351841</v>
      </c>
    </row>
    <row r="33" spans="1:31" x14ac:dyDescent="0.3">
      <c r="A33" t="s">
        <v>53</v>
      </c>
      <c r="B33" s="39">
        <v>1112.6240145987063</v>
      </c>
      <c r="C33" s="39">
        <v>38214.031170564849</v>
      </c>
      <c r="D33" s="39">
        <v>19356.87514895614</v>
      </c>
      <c r="E33" s="39">
        <v>53220.524423663723</v>
      </c>
      <c r="F33" s="39">
        <v>2743.1402896650748</v>
      </c>
      <c r="G33" s="11">
        <f t="shared" si="0"/>
        <v>114647.19504744849</v>
      </c>
      <c r="K33" s="11">
        <v>988.98308861185376</v>
      </c>
      <c r="L33" s="11">
        <v>123.64092598685247</v>
      </c>
      <c r="M33" s="11">
        <v>38214.031170564849</v>
      </c>
      <c r="N33" s="11">
        <v>2669.210788181098</v>
      </c>
      <c r="O33" s="11">
        <v>18187.700627341052</v>
      </c>
      <c r="P33" s="11">
        <v>1169.1745216150896</v>
      </c>
      <c r="Q33" s="11">
        <v>2898.1843959867447</v>
      </c>
      <c r="R33" s="11">
        <v>5678.5093733787662</v>
      </c>
      <c r="S33" s="11">
        <v>1559.6258849612998</v>
      </c>
      <c r="T33" s="11">
        <v>1566.1604927938731</v>
      </c>
      <c r="U33" s="11">
        <v>14653.774460820427</v>
      </c>
      <c r="V33" s="11">
        <v>8915.0002881599648</v>
      </c>
      <c r="W33" s="11">
        <v>2739.2950301592241</v>
      </c>
      <c r="X33" s="11">
        <v>4164.8333468819719</v>
      </c>
      <c r="Y33" s="11">
        <v>5366.7998331235749</v>
      </c>
      <c r="Z33" s="11">
        <v>3009.1305292167858</v>
      </c>
      <c r="AA33" s="11">
        <v>203.93724380952364</v>
      </c>
      <c r="AB33" s="11">
        <v>1642.5843650626207</v>
      </c>
      <c r="AC33" s="11">
        <v>200.13310927058291</v>
      </c>
      <c r="AD33" s="11">
        <v>646.94831448510286</v>
      </c>
      <c r="AE33" s="11">
        <v>49.537257037244856</v>
      </c>
    </row>
    <row r="34" spans="1:31" x14ac:dyDescent="0.3">
      <c r="A34" t="s">
        <v>54</v>
      </c>
      <c r="B34" s="39">
        <v>7543.0275939790445</v>
      </c>
      <c r="C34" s="39">
        <v>188798.97777226928</v>
      </c>
      <c r="D34" s="39">
        <v>50876.045674310059</v>
      </c>
      <c r="E34" s="39">
        <v>455037.25277527218</v>
      </c>
      <c r="F34" s="39">
        <v>54513.315130947391</v>
      </c>
      <c r="G34" s="11">
        <f t="shared" si="0"/>
        <v>756768.61894677789</v>
      </c>
      <c r="K34" s="11">
        <v>6125.829356761973</v>
      </c>
      <c r="L34" s="11">
        <v>1417.1982372170712</v>
      </c>
      <c r="M34" s="11">
        <v>188798.97777226928</v>
      </c>
      <c r="N34" s="11">
        <v>62752.234630142164</v>
      </c>
      <c r="O34" s="11">
        <v>12663.637009955883</v>
      </c>
      <c r="P34" s="11">
        <v>38212.408664354174</v>
      </c>
      <c r="Q34" s="11">
        <v>33786.122431547199</v>
      </c>
      <c r="R34" s="11">
        <v>34902.692478980287</v>
      </c>
      <c r="S34" s="11">
        <v>35262.655907926994</v>
      </c>
      <c r="T34" s="11">
        <v>63558.069969193544</v>
      </c>
      <c r="U34" s="11">
        <v>48241.762472225651</v>
      </c>
      <c r="V34" s="11">
        <v>79245.209926792959</v>
      </c>
      <c r="W34" s="11">
        <v>19590.111150805256</v>
      </c>
      <c r="X34" s="11">
        <v>22734.186404031025</v>
      </c>
      <c r="Y34" s="11">
        <v>27581.878876017028</v>
      </c>
      <c r="Z34" s="11">
        <v>27382.328527610123</v>
      </c>
      <c r="AA34" s="11">
        <v>2424.5946825581264</v>
      </c>
      <c r="AB34" s="11">
        <v>38616.597809591614</v>
      </c>
      <c r="AC34" s="11">
        <v>6398.2530900238053</v>
      </c>
      <c r="AD34" s="11">
        <v>5360.1441805439244</v>
      </c>
      <c r="AE34" s="11">
        <v>1713.7253682299188</v>
      </c>
    </row>
    <row r="35" spans="1:31" x14ac:dyDescent="0.3">
      <c r="A35" t="s">
        <v>55</v>
      </c>
      <c r="B35" s="39">
        <v>1058.8948997816035</v>
      </c>
      <c r="C35" s="39">
        <v>37850.304714076927</v>
      </c>
      <c r="D35" s="39">
        <v>14867.886815910917</v>
      </c>
      <c r="E35" s="39">
        <v>49924.823194583696</v>
      </c>
      <c r="F35" s="39">
        <v>7781.6793741925285</v>
      </c>
      <c r="G35" s="11">
        <f t="shared" si="0"/>
        <v>111483.58899854566</v>
      </c>
      <c r="K35" s="11">
        <v>1008.4588987401038</v>
      </c>
      <c r="L35" s="11">
        <v>50.436001041499686</v>
      </c>
      <c r="M35" s="11">
        <v>37850.304714076927</v>
      </c>
      <c r="N35" s="11">
        <v>4207.0217069298824</v>
      </c>
      <c r="O35" s="11">
        <v>1626.8677715629369</v>
      </c>
      <c r="P35" s="11">
        <v>13241.019044347981</v>
      </c>
      <c r="Q35" s="11">
        <v>2235.8113657478157</v>
      </c>
      <c r="R35" s="11">
        <v>6003.4851754283573</v>
      </c>
      <c r="S35" s="11">
        <v>7078.1892101180501</v>
      </c>
      <c r="T35" s="11">
        <v>4764.3492498584355</v>
      </c>
      <c r="U35" s="11">
        <v>774.58355076738155</v>
      </c>
      <c r="V35" s="11">
        <v>10773.769683192171</v>
      </c>
      <c r="W35" s="11">
        <v>2485.2542595474683</v>
      </c>
      <c r="X35" s="11">
        <v>2801.1606700518864</v>
      </c>
      <c r="Y35" s="11">
        <v>5576.2559070455472</v>
      </c>
      <c r="Z35" s="11">
        <v>3224.9424158967022</v>
      </c>
      <c r="AA35" s="11">
        <v>1812.979910602885</v>
      </c>
      <c r="AB35" s="11">
        <v>2588.9255767586328</v>
      </c>
      <c r="AC35" s="11">
        <v>1603.0170646357396</v>
      </c>
      <c r="AD35" s="11">
        <v>1642.798873841142</v>
      </c>
      <c r="AE35" s="11">
        <v>133.95794835412892</v>
      </c>
    </row>
    <row r="36" spans="1:31" x14ac:dyDescent="0.3">
      <c r="B36" s="11">
        <f>SUM(B31:B35)</f>
        <v>31732.606730601721</v>
      </c>
      <c r="C36" s="11">
        <f t="shared" ref="C36:F36" si="1">SUM(C31:C35)</f>
        <v>973223.50087369885</v>
      </c>
      <c r="D36" s="11">
        <f t="shared" si="1"/>
        <v>217067.57173311984</v>
      </c>
      <c r="E36" s="11">
        <f t="shared" si="1"/>
        <v>790026.80278138397</v>
      </c>
      <c r="F36" s="11">
        <f t="shared" si="1"/>
        <v>84067.326723303326</v>
      </c>
      <c r="G36" s="14">
        <f>SUM(G31:G35)</f>
        <v>2096117.8088421077</v>
      </c>
      <c r="H36" s="14">
        <f>SUM(B36:F36)</f>
        <v>2096117.8088421079</v>
      </c>
    </row>
    <row r="37" spans="1:31" x14ac:dyDescent="0.3">
      <c r="A37" t="s">
        <v>56</v>
      </c>
    </row>
    <row r="39" spans="1:31" x14ac:dyDescent="0.3">
      <c r="J39" s="88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</row>
    <row r="40" spans="1:31" x14ac:dyDescent="0.3">
      <c r="J40" s="88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</row>
    <row r="41" spans="1:31" x14ac:dyDescent="0.3">
      <c r="J41" s="88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</row>
    <row r="42" spans="1:31" x14ac:dyDescent="0.3">
      <c r="J42" s="88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</row>
    <row r="43" spans="1:31" x14ac:dyDescent="0.3">
      <c r="J43" s="88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</row>
    <row r="44" spans="1:31" x14ac:dyDescent="0.3">
      <c r="J44" s="88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</row>
    <row r="45" spans="1:31" x14ac:dyDescent="0.3">
      <c r="J45" s="88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</row>
    <row r="46" spans="1:31" x14ac:dyDescent="0.3">
      <c r="J46" s="88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</row>
    <row r="47" spans="1:31" x14ac:dyDescent="0.3">
      <c r="J47" s="88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</row>
    <row r="48" spans="1:31" x14ac:dyDescent="0.3">
      <c r="J48" s="88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</row>
    <row r="49" spans="10:31" x14ac:dyDescent="0.3">
      <c r="J49" s="88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</row>
    <row r="50" spans="10:31" x14ac:dyDescent="0.3">
      <c r="J50" s="88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</row>
    <row r="51" spans="10:31" x14ac:dyDescent="0.3">
      <c r="J51" s="88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</row>
    <row r="52" spans="10:31" x14ac:dyDescent="0.3">
      <c r="J52" s="88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</row>
    <row r="53" spans="10:31" x14ac:dyDescent="0.3">
      <c r="J53" s="88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</row>
    <row r="54" spans="10:31" x14ac:dyDescent="0.3">
      <c r="J54" s="88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</row>
    <row r="55" spans="10:31" x14ac:dyDescent="0.3">
      <c r="J55" s="88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</row>
    <row r="56" spans="10:31" x14ac:dyDescent="0.3">
      <c r="J56" s="88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</row>
    <row r="57" spans="10:31" x14ac:dyDescent="0.3">
      <c r="J57" s="88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</row>
    <row r="58" spans="10:31" x14ac:dyDescent="0.3">
      <c r="J58" s="88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</row>
    <row r="59" spans="10:31" x14ac:dyDescent="0.3">
      <c r="J59" s="88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opLeftCell="A10" zoomScale="70" zoomScaleNormal="70" workbookViewId="0">
      <selection activeCell="B49" sqref="B49:F49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12.21875" bestFit="1" customWidth="1"/>
    <col min="9" max="9" width="12.21875" customWidth="1"/>
    <col min="11" max="11" width="12.4414062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H1" s="78" t="s">
        <v>216</v>
      </c>
      <c r="I1" s="78" t="s">
        <v>216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61">
        <v>361.68043307305231</v>
      </c>
      <c r="H2" s="48">
        <v>-72564</v>
      </c>
      <c r="I2" s="72">
        <f>H2/1000</f>
        <v>-72.563999999999993</v>
      </c>
      <c r="K2" s="1" t="s">
        <v>3</v>
      </c>
      <c r="L2" s="61">
        <v>6402.1572276668794</v>
      </c>
      <c r="M2" s="61">
        <v>835.58158914134185</v>
      </c>
      <c r="N2" s="61">
        <v>186772.78478737609</v>
      </c>
      <c r="O2" s="61">
        <v>50884.557722237383</v>
      </c>
      <c r="P2" s="61">
        <v>13849.84553876985</v>
      </c>
      <c r="Q2" s="61">
        <v>87554.361864187318</v>
      </c>
      <c r="R2" s="61">
        <v>33287.190066725132</v>
      </c>
      <c r="S2" s="61">
        <v>35331.346180219138</v>
      </c>
      <c r="T2" s="61">
        <v>24378.854156392081</v>
      </c>
      <c r="U2" s="61">
        <v>45142.424861049018</v>
      </c>
      <c r="V2" s="61">
        <v>17106.124235608069</v>
      </c>
      <c r="W2" s="61">
        <v>105225.6443141435</v>
      </c>
      <c r="X2" s="61">
        <v>77479.11543313344</v>
      </c>
      <c r="Y2" s="61">
        <v>78265.2846025935</v>
      </c>
      <c r="Z2" s="61">
        <v>65795.239427261564</v>
      </c>
      <c r="AA2" s="61">
        <v>28045.372703772729</v>
      </c>
      <c r="AB2" s="61">
        <v>3774.736460420595</v>
      </c>
      <c r="AC2" s="61">
        <v>31313.442650450641</v>
      </c>
      <c r="AD2" s="61">
        <v>10589.46520192559</v>
      </c>
      <c r="AE2" s="61">
        <v>10320.791368246821</v>
      </c>
      <c r="AF2" s="61">
        <v>1054.443608679378</v>
      </c>
      <c r="AG2" s="5">
        <f>SUM(L2:AF2)</f>
        <v>913408.76400000008</v>
      </c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61">
        <v>41951.167101322877</v>
      </c>
      <c r="H3" s="48">
        <v>1989682</v>
      </c>
      <c r="I3" s="72">
        <f t="shared" ref="I3:I22" si="0">H3/1000</f>
        <v>1989.682</v>
      </c>
      <c r="K3" t="s">
        <v>4</v>
      </c>
      <c r="L3" s="61">
        <v>23924.24166094443</v>
      </c>
      <c r="M3" s="61">
        <v>1139.4621533259781</v>
      </c>
      <c r="N3" s="61">
        <v>263924.50112848327</v>
      </c>
      <c r="O3" s="61">
        <v>36356.207070456578</v>
      </c>
      <c r="P3" s="61">
        <v>25943.448403176051</v>
      </c>
      <c r="Q3" s="61">
        <v>16125.91284055187</v>
      </c>
      <c r="R3" s="61">
        <v>27323.78119586554</v>
      </c>
      <c r="S3" s="61">
        <v>14198.75285779958</v>
      </c>
      <c r="T3" s="61">
        <v>35065.134680654868</v>
      </c>
      <c r="U3" s="61">
        <v>57545.72474218026</v>
      </c>
      <c r="V3" s="61">
        <v>127187.66010692839</v>
      </c>
      <c r="W3" s="61">
        <v>51494.880501913431</v>
      </c>
      <c r="X3" s="61">
        <v>44897.457816960508</v>
      </c>
      <c r="Y3" s="61">
        <v>13724.344853417289</v>
      </c>
      <c r="Z3" s="61">
        <v>24202.77903842329</v>
      </c>
      <c r="AA3" s="61">
        <v>16977.9049520187</v>
      </c>
      <c r="AB3" s="61">
        <v>0</v>
      </c>
      <c r="AC3" s="61">
        <v>0</v>
      </c>
      <c r="AD3" s="61">
        <v>0</v>
      </c>
      <c r="AE3" s="61">
        <v>0</v>
      </c>
      <c r="AF3" s="61">
        <v>0</v>
      </c>
      <c r="AG3" s="5">
        <f>SUM(L3:AF3)</f>
        <v>780032.19400310016</v>
      </c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61">
        <v>144172.8543250958</v>
      </c>
      <c r="H4" s="48">
        <v>18168096.655900002</v>
      </c>
      <c r="I4" s="72">
        <f t="shared" si="0"/>
        <v>18168.096655900001</v>
      </c>
      <c r="K4" s="62" t="s">
        <v>199</v>
      </c>
      <c r="L4" s="63">
        <v>0</v>
      </c>
      <c r="M4" s="63">
        <v>0</v>
      </c>
      <c r="N4" s="63">
        <v>0</v>
      </c>
      <c r="O4" s="63">
        <v>0</v>
      </c>
      <c r="P4" s="63">
        <v>0</v>
      </c>
      <c r="Q4" s="63">
        <v>0</v>
      </c>
      <c r="R4" s="63">
        <v>0</v>
      </c>
      <c r="S4" s="63">
        <v>0</v>
      </c>
      <c r="T4" s="63">
        <v>0</v>
      </c>
      <c r="U4" s="63">
        <v>0</v>
      </c>
      <c r="V4" s="63">
        <v>0</v>
      </c>
      <c r="W4" s="63">
        <v>0</v>
      </c>
      <c r="X4" s="63">
        <v>0</v>
      </c>
      <c r="Y4" s="63">
        <v>0</v>
      </c>
      <c r="Z4" s="63">
        <v>0</v>
      </c>
      <c r="AA4" s="63">
        <v>0</v>
      </c>
      <c r="AB4" s="63">
        <v>3589.3676878868519</v>
      </c>
      <c r="AC4" s="63">
        <v>22395.377359847778</v>
      </c>
      <c r="AD4" s="63">
        <v>13134.896449515651</v>
      </c>
      <c r="AE4" s="63">
        <v>6865.1697598198734</v>
      </c>
      <c r="AF4" s="63">
        <v>656.00673982984836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61">
        <v>8316.871834446456</v>
      </c>
      <c r="H5" s="48">
        <v>1133715.213</v>
      </c>
      <c r="I5" s="72">
        <f t="shared" si="0"/>
        <v>1133.7152129999999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61">
        <v>0</v>
      </c>
      <c r="H6" s="48">
        <v>0</v>
      </c>
      <c r="I6" s="72">
        <f t="shared" si="0"/>
        <v>0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61">
        <v>257479.49852839691</v>
      </c>
      <c r="H7" s="48">
        <v>464036</v>
      </c>
      <c r="I7" s="72">
        <f t="shared" si="0"/>
        <v>464.036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61">
        <v>593.33600810935684</v>
      </c>
      <c r="H8" s="48">
        <v>256571</v>
      </c>
      <c r="I8" s="72">
        <f t="shared" si="0"/>
        <v>256.57100000000003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61">
        <v>0</v>
      </c>
      <c r="H9" s="48">
        <v>0</v>
      </c>
      <c r="I9" s="72">
        <f t="shared" si="0"/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61">
        <v>17022.023814097261</v>
      </c>
      <c r="H10" s="48">
        <v>513744.60019999999</v>
      </c>
      <c r="I10" s="72">
        <f t="shared" si="0"/>
        <v>513.74460020000004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61">
        <v>0</v>
      </c>
      <c r="H11" s="48">
        <v>0</v>
      </c>
      <c r="I11" s="72">
        <f t="shared" si="0"/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61">
        <v>27268.525176862149</v>
      </c>
      <c r="H12" s="48">
        <v>0</v>
      </c>
      <c r="I12" s="72">
        <f t="shared" si="0"/>
        <v>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61">
        <v>74517.628890243272</v>
      </c>
      <c r="H13" s="48">
        <v>0</v>
      </c>
      <c r="I13" s="72">
        <f t="shared" si="0"/>
        <v>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61">
        <v>0</v>
      </c>
      <c r="H14" s="48">
        <v>0</v>
      </c>
      <c r="I14" s="72">
        <f t="shared" si="0"/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61">
        <v>0</v>
      </c>
      <c r="H15" s="48">
        <v>0</v>
      </c>
      <c r="I15" s="72">
        <f t="shared" si="0"/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61">
        <v>0</v>
      </c>
      <c r="H16" s="48">
        <v>0</v>
      </c>
      <c r="I16" s="72">
        <f t="shared" si="0"/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61">
        <v>586.90537584523588</v>
      </c>
      <c r="H17" s="48">
        <v>0</v>
      </c>
      <c r="I17" s="72">
        <f t="shared" si="0"/>
        <v>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61">
        <v>0</v>
      </c>
      <c r="H18" s="48">
        <v>393939.34409999999</v>
      </c>
      <c r="I18" s="72">
        <f t="shared" si="0"/>
        <v>393.93934409999997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61">
        <v>0</v>
      </c>
      <c r="H19" s="48">
        <v>697811.78700000001</v>
      </c>
      <c r="I19" s="72">
        <f t="shared" si="0"/>
        <v>697.81178699999998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61">
        <v>0</v>
      </c>
      <c r="H20" s="48">
        <v>448684.39980000001</v>
      </c>
      <c r="I20" s="72">
        <f t="shared" si="0"/>
        <v>448.68439979999999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61">
        <v>0</v>
      </c>
      <c r="H21" s="48">
        <v>0</v>
      </c>
      <c r="I21" s="71">
        <f t="shared" si="0"/>
        <v>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61">
        <v>0</v>
      </c>
      <c r="H22" s="48">
        <v>0</v>
      </c>
      <c r="I22" s="71">
        <f t="shared" si="0"/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t="s">
        <v>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12" t="s">
        <v>79</v>
      </c>
      <c r="B26" s="23">
        <f>SUM(L3:M3)</f>
        <v>25063.703814270408</v>
      </c>
      <c r="C26" s="24">
        <f>SUM(N3)</f>
        <v>263924.50112848327</v>
      </c>
      <c r="D26" s="23">
        <f>SUM(P3:Q3)</f>
        <v>42069.361243727923</v>
      </c>
      <c r="E26" s="23">
        <f>SUM(O3,R3:AA3)</f>
        <v>448974.62781661842</v>
      </c>
      <c r="F26" s="23"/>
      <c r="G26" s="5">
        <f>SUM(B26:F26)</f>
        <v>780032.19400310004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21" t="s">
        <v>80</v>
      </c>
      <c r="B27" s="23"/>
      <c r="C27" s="24"/>
      <c r="D27" s="23"/>
      <c r="E27" s="23"/>
      <c r="F27" s="22">
        <f>SUM(AB4:AF4)</f>
        <v>46640.817996900005</v>
      </c>
      <c r="G27" s="5">
        <f>SUM(B27:F27)</f>
        <v>46640.817996900005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12" t="s">
        <v>191</v>
      </c>
      <c r="B28" s="23">
        <f>SUM(G2:G3)</f>
        <v>42312.847534395929</v>
      </c>
      <c r="C28" s="23">
        <f>SUM(G4)</f>
        <v>144172.8543250958</v>
      </c>
      <c r="D28" s="23">
        <f>SUM(G6:G7)</f>
        <v>257479.49852839691</v>
      </c>
      <c r="E28" s="23">
        <f>SUM(G5,G8:G17)</f>
        <v>128305.29109960372</v>
      </c>
      <c r="F28" s="21">
        <f>SUM(G18:G22)</f>
        <v>0</v>
      </c>
      <c r="G28" s="5">
        <f>SUM(G26:G27)</f>
        <v>826673.0120000001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s="12" t="s">
        <v>217</v>
      </c>
      <c r="B29" s="19">
        <f>SUM(I2:I3)</f>
        <v>1917.1179999999999</v>
      </c>
      <c r="C29" s="19">
        <f>SUM(I4)</f>
        <v>18168.096655900001</v>
      </c>
      <c r="D29" s="19">
        <f>SUM(I6:I7)</f>
        <v>464.036</v>
      </c>
      <c r="E29" s="19">
        <f>SUM(I5,I8:I17)</f>
        <v>1904.0308132</v>
      </c>
      <c r="F29" s="79">
        <f>SUM(I18:I22)</f>
        <v>1540.4355308999998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3</v>
      </c>
      <c r="B31" s="5">
        <f>SUM(L2:M2)</f>
        <v>7237.7388168082216</v>
      </c>
      <c r="C31" s="4">
        <f>SUM(N2)</f>
        <v>186772.78478737609</v>
      </c>
      <c r="D31" s="5">
        <f>SUM(P2:Q2)</f>
        <v>101404.20740295717</v>
      </c>
      <c r="E31" s="5">
        <f>SUM(O2,R2:AA2)</f>
        <v>560941.15370313555</v>
      </c>
      <c r="F31" s="5">
        <f>SUM(AB2:AF2)</f>
        <v>57052.879289723023</v>
      </c>
    </row>
    <row r="32" spans="1:31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 x14ac:dyDescent="0.3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 x14ac:dyDescent="0.3">
      <c r="A34" s="12" t="s">
        <v>59</v>
      </c>
      <c r="B34" s="13">
        <f>B31*B32</f>
        <v>6000.0854791340153</v>
      </c>
      <c r="C34" s="13">
        <f t="shared" ref="C34:F34" si="1">C31*C32</f>
        <v>112810.76201157515</v>
      </c>
      <c r="D34" s="13">
        <f t="shared" si="1"/>
        <v>50093.678457060843</v>
      </c>
      <c r="E34" s="13">
        <f t="shared" si="1"/>
        <v>278787.75339045835</v>
      </c>
      <c r="F34" s="13">
        <f t="shared" si="1"/>
        <v>31436.136488637389</v>
      </c>
      <c r="G34" s="15">
        <f>SUM(B34:F34)</f>
        <v>479128.4158268657</v>
      </c>
      <c r="H34" s="77">
        <f>G34*(1-0.033)</f>
        <v>463317.1781045791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 t="s">
        <v>60</v>
      </c>
      <c r="B35" s="13">
        <f>B31*B33</f>
        <v>5319.7380303540431</v>
      </c>
      <c r="C35" s="13">
        <f t="shared" ref="C35:F35" si="2">C31*C33</f>
        <v>73962.022775800942</v>
      </c>
      <c r="D35" s="13">
        <f t="shared" si="2"/>
        <v>51310.528945896323</v>
      </c>
      <c r="E35" s="13">
        <f t="shared" si="2"/>
        <v>282153.4003126772</v>
      </c>
      <c r="F35" s="13">
        <f t="shared" si="2"/>
        <v>25616.742801085638</v>
      </c>
      <c r="G35" s="15">
        <f>SUM(B35:F35)</f>
        <v>438362.43286581413</v>
      </c>
      <c r="H35" s="77">
        <f>G35*(1-0.033)</f>
        <v>423896.47258124227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3">SUM(N36:O36)</f>
        <v>701</v>
      </c>
      <c r="Q36" s="10">
        <f>P36/P40*100</f>
        <v>8.9401862007397011</v>
      </c>
    </row>
    <row r="37" spans="1:17" x14ac:dyDescent="0.3">
      <c r="A37" t="s">
        <v>56</v>
      </c>
      <c r="G37" s="16">
        <f>SUM(G34:G36)</f>
        <v>917490.84869267978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3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3"/>
        <v>1833</v>
      </c>
      <c r="Q38" s="10">
        <f>P38/P40*100</f>
        <v>23.377120265272286</v>
      </c>
    </row>
    <row r="39" spans="1:17" x14ac:dyDescent="0.3">
      <c r="B39" s="12" t="s">
        <v>59</v>
      </c>
      <c r="C39" s="12" t="s">
        <v>60</v>
      </c>
      <c r="D39" s="12" t="s">
        <v>79</v>
      </c>
      <c r="E39" s="21" t="s">
        <v>80</v>
      </c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3"/>
        <v>3832</v>
      </c>
      <c r="Q39" s="10">
        <f>P39/P40*100</f>
        <v>48.871317434000765</v>
      </c>
    </row>
    <row r="40" spans="1:17" x14ac:dyDescent="0.3">
      <c r="A40" t="s">
        <v>61</v>
      </c>
      <c r="B40" s="19">
        <f>B46*M35/100</f>
        <v>6991.4373944974213</v>
      </c>
      <c r="C40" s="19">
        <f>C46*M35/100</f>
        <v>6396.5805496879275</v>
      </c>
      <c r="D40" s="13">
        <f>D46*Q35/100</f>
        <v>6381.5509118734826</v>
      </c>
      <c r="E40" s="13">
        <f>E45*Q35/100</f>
        <v>0</v>
      </c>
      <c r="G40" s="75" t="s">
        <v>215</v>
      </c>
      <c r="H40" s="76"/>
      <c r="K40" t="s">
        <v>67</v>
      </c>
      <c r="L40" s="14">
        <f>SUM(L35:L39)</f>
        <v>18953</v>
      </c>
      <c r="M40" s="18"/>
      <c r="N40" s="14">
        <f t="shared" ref="N40:O40" si="4">SUM(N35:N39)</f>
        <v>5755</v>
      </c>
      <c r="O40" s="14">
        <f t="shared" si="4"/>
        <v>2086</v>
      </c>
      <c r="P40" s="14">
        <f t="shared" si="3"/>
        <v>7841</v>
      </c>
    </row>
    <row r="41" spans="1:17" x14ac:dyDescent="0.3">
      <c r="A41" t="s">
        <v>62</v>
      </c>
      <c r="B41" s="19">
        <f>B46*M36/100</f>
        <v>33710.462122419376</v>
      </c>
      <c r="C41" s="19">
        <f>C46*M36/100</f>
        <v>30842.253769299481</v>
      </c>
      <c r="D41" s="13">
        <f>D46*Q36/100</f>
        <v>23421.294184415241</v>
      </c>
      <c r="E41" s="13">
        <f>E45*Q36/100</f>
        <v>0</v>
      </c>
    </row>
    <row r="42" spans="1:17" x14ac:dyDescent="0.3">
      <c r="A42" t="s">
        <v>63</v>
      </c>
      <c r="B42" s="19">
        <f>B46*M37/100</f>
        <v>68398.747656656589</v>
      </c>
      <c r="C42" s="19">
        <f>C46*M37/100</f>
        <v>62579.134188904965</v>
      </c>
      <c r="D42" s="13">
        <f>D46*Q37/100</f>
        <v>42900.059533222782</v>
      </c>
      <c r="E42" s="13">
        <f>E45*Q37/100</f>
        <v>0</v>
      </c>
    </row>
    <row r="43" spans="1:17" x14ac:dyDescent="0.3">
      <c r="A43" t="s">
        <v>64</v>
      </c>
      <c r="B43" s="19">
        <f>B46*M38/100</f>
        <v>117509.92851520667</v>
      </c>
      <c r="C43" s="19">
        <f>C46*M38/100</f>
        <v>107511.75770052403</v>
      </c>
      <c r="D43" s="13">
        <f>D46*Q38/100</f>
        <v>61242.841997194206</v>
      </c>
      <c r="E43" s="13">
        <f>E45*Q38/100</f>
        <v>0</v>
      </c>
      <c r="K43" t="s">
        <v>77</v>
      </c>
    </row>
    <row r="44" spans="1:17" x14ac:dyDescent="0.3">
      <c r="A44" t="s">
        <v>65</v>
      </c>
      <c r="B44" s="19">
        <f>B46*M39/100</f>
        <v>236706.60241579902</v>
      </c>
      <c r="C44" s="19">
        <f>C46*M39/100</f>
        <v>216566.74637282587</v>
      </c>
      <c r="D44" s="13">
        <f>D46*Q39/100</f>
        <v>128031.95337329418</v>
      </c>
      <c r="E44" s="13">
        <f>E45*Q39/100</f>
        <v>0</v>
      </c>
    </row>
    <row r="45" spans="1:17" x14ac:dyDescent="0.3">
      <c r="A45" t="s">
        <v>67</v>
      </c>
      <c r="B45" s="15">
        <f>G34</f>
        <v>479128.4158268657</v>
      </c>
      <c r="C45" s="20">
        <f>G35</f>
        <v>438362.43286581413</v>
      </c>
      <c r="D45" s="22"/>
      <c r="E45" s="22">
        <v>0</v>
      </c>
    </row>
    <row r="46" spans="1:17" x14ac:dyDescent="0.3">
      <c r="A46" t="s">
        <v>214</v>
      </c>
      <c r="B46" s="74">
        <f>H34</f>
        <v>463317.1781045791</v>
      </c>
      <c r="C46" s="74">
        <f>H35</f>
        <v>423896.47258124227</v>
      </c>
      <c r="D46" s="73">
        <f>미시사회행렬국산!X26</f>
        <v>261977.6999999999</v>
      </c>
    </row>
    <row r="47" spans="1:17" x14ac:dyDescent="0.3">
      <c r="A47" t="s">
        <v>180</v>
      </c>
      <c r="B47" s="19">
        <f>G47*Q35/100</f>
        <v>3484.9389585885074</v>
      </c>
      <c r="C47" s="19">
        <f>G47*Q36/100</f>
        <v>12790.27335063112</v>
      </c>
      <c r="D47" s="19">
        <f>G47*Q37/100</f>
        <v>23427.547763495517</v>
      </c>
      <c r="E47" s="19">
        <f>G47*Q38/100</f>
        <v>33444.46655022374</v>
      </c>
      <c r="F47" s="19">
        <f>G47*Q39/100</f>
        <v>69917.7282162888</v>
      </c>
      <c r="G47" s="44">
        <f>미시사회행렬국산!Z29</f>
        <v>143064.95483922769</v>
      </c>
      <c r="H47" s="14"/>
      <c r="I47" t="s">
        <v>181</v>
      </c>
    </row>
    <row r="48" spans="1:17" x14ac:dyDescent="0.3">
      <c r="B48" s="19"/>
    </row>
    <row r="49" spans="1:7" x14ac:dyDescent="0.3">
      <c r="A49" t="s">
        <v>212</v>
      </c>
      <c r="B49" s="19">
        <f>G49*M35/100</f>
        <v>1454.0033720255344</v>
      </c>
      <c r="C49" s="19">
        <f>G49*M36/100</f>
        <v>7010.7365385426974</v>
      </c>
      <c r="D49" s="19">
        <f>G49*M37/100</f>
        <v>14224.830192054003</v>
      </c>
      <c r="E49" s="19">
        <f>G49*M38/100</f>
        <v>24438.44129135225</v>
      </c>
      <c r="F49" s="19">
        <f>G49*M39/100</f>
        <v>49227.673606025332</v>
      </c>
      <c r="G49" s="44">
        <f>미시사회행렬국산!Z33</f>
        <v>96355.684999999823</v>
      </c>
    </row>
    <row r="51" spans="1:7" x14ac:dyDescent="0.3">
      <c r="B51" s="12" t="s">
        <v>59</v>
      </c>
      <c r="C51" s="12" t="s">
        <v>60</v>
      </c>
      <c r="D51" s="12" t="s">
        <v>79</v>
      </c>
      <c r="E51" s="21" t="s">
        <v>80</v>
      </c>
    </row>
    <row r="52" spans="1:7" x14ac:dyDescent="0.3">
      <c r="A52" t="s">
        <v>61</v>
      </c>
      <c r="B52" s="19">
        <f>B57*M35/100</f>
        <v>7230.0283293665161</v>
      </c>
      <c r="C52" s="19">
        <f>C57*M35/100</f>
        <v>6614.8713026762443</v>
      </c>
      <c r="D52" s="13">
        <f>D58*Q47/100</f>
        <v>0</v>
      </c>
      <c r="E52" s="13">
        <f>E57*Q47/100</f>
        <v>0</v>
      </c>
      <c r="G52" s="75"/>
    </row>
    <row r="53" spans="1:7" x14ac:dyDescent="0.3">
      <c r="A53" t="s">
        <v>62</v>
      </c>
      <c r="B53" s="19">
        <f>B57*M36/100</f>
        <v>34860.870860826661</v>
      </c>
      <c r="C53" s="19">
        <f>C57*M36/100</f>
        <v>31894.781560806077</v>
      </c>
      <c r="D53" s="13">
        <f>D58*Q48/100</f>
        <v>0</v>
      </c>
      <c r="E53" s="13">
        <f>E57*Q48/100</f>
        <v>0</v>
      </c>
    </row>
    <row r="54" spans="1:7" x14ac:dyDescent="0.3">
      <c r="A54" t="s">
        <v>63</v>
      </c>
      <c r="B54" s="19">
        <f>B57*M37/100</f>
        <v>70732.934494991307</v>
      </c>
      <c r="C54" s="19">
        <f>C57*M37/100</f>
        <v>64714.719947161284</v>
      </c>
      <c r="D54" s="13">
        <f>D58*Q49/100</f>
        <v>0</v>
      </c>
      <c r="E54" s="13">
        <f>E57*Q49/100</f>
        <v>0</v>
      </c>
    </row>
    <row r="55" spans="1:7" x14ac:dyDescent="0.3">
      <c r="A55" t="s">
        <v>64</v>
      </c>
      <c r="B55" s="19">
        <f>B57*M38/100</f>
        <v>121520.09153589109</v>
      </c>
      <c r="C55" s="19">
        <f>C57*M38/100</f>
        <v>111180.72151036611</v>
      </c>
      <c r="D55" s="13">
        <f>D58*Q50/100</f>
        <v>0</v>
      </c>
      <c r="E55" s="13">
        <f>E57*Q50/100</f>
        <v>0</v>
      </c>
    </row>
    <row r="56" spans="1:7" x14ac:dyDescent="0.3">
      <c r="A56" t="s">
        <v>65</v>
      </c>
      <c r="B56" s="19">
        <f>B57*M39/100</f>
        <v>244784.49060579014</v>
      </c>
      <c r="C56" s="19">
        <f>C57*M39/100</f>
        <v>223957.33854480443</v>
      </c>
      <c r="D56" s="13">
        <f>D58*Q51/100</f>
        <v>0</v>
      </c>
      <c r="E56" s="13">
        <f>E57*Q51/100</f>
        <v>0</v>
      </c>
    </row>
    <row r="57" spans="1:7" x14ac:dyDescent="0.3">
      <c r="A57" t="s">
        <v>67</v>
      </c>
      <c r="B57" s="15">
        <f>G34</f>
        <v>479128.4158268657</v>
      </c>
      <c r="C57" s="20">
        <f>G35</f>
        <v>438362.43286581413</v>
      </c>
      <c r="D57" s="22"/>
      <c r="E57" s="22">
        <v>0</v>
      </c>
    </row>
    <row r="58" spans="1:7" x14ac:dyDescent="0.3">
      <c r="B58" s="74"/>
      <c r="C58" s="74"/>
      <c r="D58" s="73"/>
    </row>
    <row r="59" spans="1:7" x14ac:dyDescent="0.3">
      <c r="B59" s="19"/>
      <c r="C59" s="19"/>
      <c r="D59" s="19"/>
      <c r="E59" s="19"/>
      <c r="F59" s="19"/>
      <c r="G59" s="44"/>
    </row>
    <row r="60" spans="1:7" x14ac:dyDescent="0.3">
      <c r="B60" s="19"/>
    </row>
    <row r="61" spans="1:7" x14ac:dyDescent="0.3">
      <c r="B61" s="19"/>
      <c r="C61" s="19"/>
      <c r="D61" s="19"/>
      <c r="E61" s="19"/>
      <c r="F61" s="19"/>
      <c r="G61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workbookViewId="0">
      <selection activeCell="G30" sqref="G30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9.5546875" bestFit="1" customWidth="1"/>
    <col min="11" max="11" width="32.8867187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61">
        <v>19223.924968678341</v>
      </c>
      <c r="M2" s="61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61">
        <v>367.72779798933237</v>
      </c>
      <c r="M3" s="61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61">
        <v>215623.49329531071</v>
      </c>
      <c r="M4" s="61">
        <v>0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61">
        <v>56316.920503091947</v>
      </c>
      <c r="M5" s="61">
        <v>0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61">
        <v>22031.766001544689</v>
      </c>
      <c r="M6" s="61">
        <v>987.23033761918771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61">
        <v>0</v>
      </c>
      <c r="M7" s="61">
        <v>0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61">
        <v>30104.703017715579</v>
      </c>
      <c r="M8" s="61">
        <v>0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61">
        <v>102562.9079359639</v>
      </c>
      <c r="M9" s="6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61">
        <v>33162.699842101691</v>
      </c>
      <c r="M10" s="6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61">
        <v>72328.970675618781</v>
      </c>
      <c r="M11" s="6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61">
        <v>132463.75742888119</v>
      </c>
      <c r="M12" s="6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61">
        <v>10298.69489514773</v>
      </c>
      <c r="M13" s="6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61">
        <v>2331.1414053204421</v>
      </c>
      <c r="M14" s="61">
        <v>154024.681628411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61">
        <v>59049.619620313752</v>
      </c>
      <c r="M15" s="61">
        <v>70700.697888046445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61">
        <v>58336.310204086731</v>
      </c>
      <c r="M16" s="61">
        <v>100728.55210755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61">
        <v>83799.513715594716</v>
      </c>
      <c r="M17" s="61">
        <v>2189.972877601127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61">
        <v>792.88895461752998</v>
      </c>
      <c r="M18" s="6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61">
        <v>34498.871008082417</v>
      </c>
      <c r="M19" s="6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61">
        <v>2335.4956256406508</v>
      </c>
      <c r="M20" s="6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61">
        <v>336.41726507222882</v>
      </c>
      <c r="M21" s="6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61">
        <v>0</v>
      </c>
      <c r="M22" s="6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 t="s">
        <v>67</v>
      </c>
      <c r="L23" s="5">
        <f>SUM(L2:L22)</f>
        <v>935965.82416077238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t="s">
        <v>46</v>
      </c>
      <c r="B26" s="23">
        <f>G26*M35/100</f>
        <v>295.63724430258821</v>
      </c>
      <c r="C26" s="23">
        <f>G26*M36/100</f>
        <v>1425.4676919345075</v>
      </c>
      <c r="D26" s="25">
        <f>G26*M37/100</f>
        <v>2892.2832502050414</v>
      </c>
      <c r="E26" s="23">
        <f>G26*M38/100</f>
        <v>4968.9798369319642</v>
      </c>
      <c r="F26" s="23">
        <f>G26*M39/100</f>
        <v>10009.284743293572</v>
      </c>
      <c r="G26" s="5">
        <f>SUM(L2:L3)</f>
        <v>19591.652766667674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t="s">
        <v>47</v>
      </c>
      <c r="B27" s="23">
        <f>G27*M35/100</f>
        <v>3253.7497537307477</v>
      </c>
      <c r="C27" s="23">
        <f>G27*M36/100</f>
        <v>15688.534651729722</v>
      </c>
      <c r="D27" s="25">
        <f>G27*M37/100</f>
        <v>31832.139199086127</v>
      </c>
      <c r="E27" s="23">
        <f>G27*M38/100</f>
        <v>54688.024706936041</v>
      </c>
      <c r="F27" s="23">
        <f>G27*M39/100</f>
        <v>110161.04498382806</v>
      </c>
      <c r="G27" s="5">
        <f>SUM(L4)</f>
        <v>215623.49329531071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t="s">
        <v>48</v>
      </c>
      <c r="B28" s="23">
        <f>G28*M35/100</f>
        <v>332.45845388285665</v>
      </c>
      <c r="C28" s="23">
        <f>G28*M36/100</f>
        <v>1603.0077199456616</v>
      </c>
      <c r="D28" s="25">
        <f>G28*M37/100</f>
        <v>3252.5131257490657</v>
      </c>
      <c r="E28" s="23">
        <f>G28*M38/100</f>
        <v>5587.8593979541674</v>
      </c>
      <c r="F28" s="23">
        <f>G28*M39/100</f>
        <v>11255.927304012939</v>
      </c>
      <c r="G28" s="5">
        <f>SUM(L6:L7)</f>
        <v>22031.766001544689</v>
      </c>
      <c r="I28" s="49">
        <f>SUM(M6:M7)</f>
        <v>987.23033761918771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t="s">
        <v>49</v>
      </c>
      <c r="B29" s="23">
        <f>G29*M35/100</f>
        <v>9668.9705283457606</v>
      </c>
      <c r="C29" s="23">
        <f>G29*M36/100</f>
        <v>46620.66558947134</v>
      </c>
      <c r="D29" s="25">
        <f>G29*M37/100</f>
        <v>94593.634749340694</v>
      </c>
      <c r="E29" s="23">
        <f>G29*M38/100</f>
        <v>162513.0815725807</v>
      </c>
      <c r="F29" s="23">
        <f>G29*M39/100</f>
        <v>327358.88680409791</v>
      </c>
      <c r="G29" s="5">
        <f>SUM(L5,L8:L17)</f>
        <v>640755.23924383637</v>
      </c>
      <c r="I29" s="49">
        <f>SUM(M5,M8:M17)</f>
        <v>327643.90450160851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t="s">
        <v>50</v>
      </c>
      <c r="B30" s="23">
        <f>G30*M35/100</f>
        <v>572.87028101493536</v>
      </c>
      <c r="C30" s="23">
        <f>G30*M36/100</f>
        <v>2762.1962151034818</v>
      </c>
      <c r="D30" s="25">
        <f>G30*M37/100</f>
        <v>5604.5141478314299</v>
      </c>
      <c r="E30" s="23">
        <f>G30*M38/100</f>
        <v>9628.6274155202609</v>
      </c>
      <c r="F30" s="23">
        <f>G30*M39/100</f>
        <v>19395.46479394272</v>
      </c>
      <c r="G30" s="5">
        <f>SUM(L18:L22)</f>
        <v>37963.672853412827</v>
      </c>
      <c r="I30" s="49">
        <f>SUM(M18:M22)</f>
        <v>0</v>
      </c>
    </row>
    <row r="31" spans="1:31" x14ac:dyDescent="0.3">
      <c r="B31" s="5"/>
      <c r="C31" s="5"/>
      <c r="D31" s="5"/>
      <c r="E31" s="5"/>
      <c r="F31" s="5"/>
      <c r="G31" s="5">
        <f>SUM(G26:G30)</f>
        <v>935965.82416077226</v>
      </c>
    </row>
    <row r="33" spans="1:17" x14ac:dyDescent="0.3">
      <c r="M33" t="s">
        <v>68</v>
      </c>
      <c r="Q33" t="s">
        <v>68</v>
      </c>
    </row>
    <row r="34" spans="1:17" x14ac:dyDescent="0.3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 x14ac:dyDescent="0.3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 x14ac:dyDescent="0.3">
      <c r="B39" s="12"/>
      <c r="C39" s="12"/>
      <c r="D39" s="12"/>
      <c r="E39" s="21"/>
      <c r="K39" t="s">
        <v>65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 x14ac:dyDescent="0.3">
      <c r="B40" s="19"/>
      <c r="C40" s="19"/>
      <c r="D40" s="13"/>
      <c r="E40" s="13"/>
      <c r="K40" t="s">
        <v>67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 x14ac:dyDescent="0.3">
      <c r="B41" s="19"/>
      <c r="C41" s="19"/>
      <c r="D41" s="13"/>
      <c r="E41" s="13"/>
    </row>
    <row r="42" spans="1:17" x14ac:dyDescent="0.3">
      <c r="B42" s="19"/>
      <c r="C42" s="19"/>
      <c r="D42" s="13"/>
      <c r="E42" s="13"/>
    </row>
    <row r="43" spans="1:17" x14ac:dyDescent="0.3">
      <c r="B43" s="19"/>
      <c r="C43" s="19"/>
      <c r="D43" s="13"/>
      <c r="E43" s="13"/>
      <c r="K43" t="s">
        <v>77</v>
      </c>
    </row>
    <row r="44" spans="1:17" x14ac:dyDescent="0.3">
      <c r="B44" s="19"/>
      <c r="C44" s="19"/>
      <c r="D44" s="13"/>
      <c r="E44" s="13"/>
    </row>
    <row r="45" spans="1:17" x14ac:dyDescent="0.3">
      <c r="B45" s="15"/>
      <c r="C45" s="20"/>
      <c r="D45" s="22"/>
      <c r="E45" s="22"/>
    </row>
    <row r="46" spans="1:17" x14ac:dyDescent="0.3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zoomScale="55" zoomScaleNormal="55" workbookViewId="0">
      <selection activeCell="B31" sqref="B31"/>
    </sheetView>
  </sheetViews>
  <sheetFormatPr defaultRowHeight="17.25" x14ac:dyDescent="0.3"/>
  <cols>
    <col min="1" max="1" width="32.88671875" bestFit="1" customWidth="1"/>
    <col min="2" max="2" width="12.6640625" bestFit="1" customWidth="1"/>
    <col min="3" max="3" width="10.6640625" bestFit="1" customWidth="1"/>
    <col min="4" max="5" width="10" bestFit="1" customWidth="1"/>
    <col min="6" max="6" width="12.6640625" bestFit="1" customWidth="1"/>
    <col min="7" max="7" width="9.5546875" bestFit="1" customWidth="1"/>
    <col min="11" max="11" width="12.44140625" bestFit="1" customWidth="1"/>
    <col min="12" max="12" width="9.5546875" bestFit="1" customWidth="1"/>
    <col min="13" max="13" width="11.109375" bestFit="1" customWidth="1"/>
    <col min="14" max="14" width="10.109375" bestFit="1" customWidth="1"/>
    <col min="15" max="15" width="11.109375" bestFit="1" customWidth="1"/>
    <col min="16" max="16" width="9.5546875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61">
        <v>1145.805084375691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61">
        <v>2683.0468825418652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61">
        <v>618894.43178437673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61">
        <v>22039.934364411081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61">
        <v>1065.2672068799741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61">
        <v>214.4738781108085</v>
      </c>
      <c r="K7" s="64" t="s">
        <v>41</v>
      </c>
      <c r="L7" s="65">
        <v>548.92979930479851</v>
      </c>
      <c r="M7" s="65">
        <v>6052.4778698731361</v>
      </c>
      <c r="N7" s="65">
        <v>16869.574166049981</v>
      </c>
      <c r="O7" s="65">
        <v>0</v>
      </c>
      <c r="P7" s="65">
        <v>0</v>
      </c>
      <c r="Q7" s="65">
        <v>0</v>
      </c>
      <c r="R7" s="65">
        <v>0</v>
      </c>
      <c r="S7" s="65">
        <v>0</v>
      </c>
      <c r="T7" s="65">
        <v>1.122069747438134E-2</v>
      </c>
      <c r="U7" s="65">
        <v>0</v>
      </c>
      <c r="V7" s="65">
        <v>0</v>
      </c>
      <c r="W7" s="65">
        <v>0</v>
      </c>
      <c r="X7" s="65">
        <v>0</v>
      </c>
      <c r="Y7" s="65">
        <v>0</v>
      </c>
      <c r="Z7" s="65">
        <v>0</v>
      </c>
      <c r="AA7" s="65">
        <v>0.88114940619704363</v>
      </c>
      <c r="AB7" s="65">
        <v>285.27213395084419</v>
      </c>
      <c r="AC7" s="65">
        <v>0</v>
      </c>
      <c r="AD7" s="65">
        <v>9.6607175687533822E-3</v>
      </c>
      <c r="AE7" s="65">
        <v>0</v>
      </c>
      <c r="AF7" s="65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61">
        <v>33744.537905331701</v>
      </c>
      <c r="K8" s="52" t="s">
        <v>16</v>
      </c>
      <c r="L8" s="65">
        <v>11731.070999882169</v>
      </c>
      <c r="M8" s="65">
        <v>140654.13596925951</v>
      </c>
      <c r="N8" s="65">
        <v>429277.15096248733</v>
      </c>
      <c r="O8" s="65">
        <v>2508.097405129844</v>
      </c>
      <c r="P8" s="65">
        <v>198.36621250479749</v>
      </c>
      <c r="Q8" s="65">
        <v>37.140011650737968</v>
      </c>
      <c r="R8" s="65">
        <v>25657.465373996911</v>
      </c>
      <c r="S8" s="65">
        <v>19930.273742593439</v>
      </c>
      <c r="T8" s="65">
        <v>6628.8523345514895</v>
      </c>
      <c r="U8" s="65">
        <v>4168.3419552967089</v>
      </c>
      <c r="V8" s="65">
        <v>1937.3983373799899</v>
      </c>
      <c r="W8" s="65">
        <v>37559.902586385579</v>
      </c>
      <c r="X8" s="65">
        <v>685.20509318367124</v>
      </c>
      <c r="Y8" s="65">
        <v>2389.8484734466529</v>
      </c>
      <c r="Z8" s="65">
        <v>380.17641837276949</v>
      </c>
      <c r="AA8" s="65">
        <v>7236.6825410315441</v>
      </c>
      <c r="AB8" s="65">
        <v>10487.330333750349</v>
      </c>
      <c r="AC8" s="65">
        <v>1543.438083632127</v>
      </c>
      <c r="AD8" s="65">
        <v>3383.4322218915868</v>
      </c>
      <c r="AE8" s="65">
        <v>7677.6762972596753</v>
      </c>
      <c r="AF8" s="65">
        <v>75.653645105516546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61">
        <v>10938.889066389051</v>
      </c>
      <c r="K9" s="52" t="s">
        <v>12</v>
      </c>
      <c r="L9" s="65">
        <v>0</v>
      </c>
      <c r="M9" s="65">
        <v>0</v>
      </c>
      <c r="N9" s="65">
        <v>64554.361604004778</v>
      </c>
      <c r="O9" s="65">
        <v>5558.5757476890039</v>
      </c>
      <c r="P9" s="65">
        <v>21709.353139449231</v>
      </c>
      <c r="Q9" s="65">
        <v>13939.43125659036</v>
      </c>
      <c r="R9" s="65">
        <v>4776.8457303745117</v>
      </c>
      <c r="S9" s="65">
        <v>8326.0490804901201</v>
      </c>
      <c r="T9" s="65">
        <v>3981.2796193214049</v>
      </c>
      <c r="U9" s="65">
        <v>4570.998448689912</v>
      </c>
      <c r="V9" s="65">
        <v>16704.186644806268</v>
      </c>
      <c r="W9" s="65">
        <v>0</v>
      </c>
      <c r="X9" s="65">
        <v>2114.8962548021682</v>
      </c>
      <c r="Y9" s="65">
        <v>753.40544744997499</v>
      </c>
      <c r="Z9" s="65">
        <v>4361.3370569019853</v>
      </c>
      <c r="AA9" s="65">
        <v>5338.8547752643199</v>
      </c>
      <c r="AB9" s="65">
        <v>0</v>
      </c>
      <c r="AC9" s="65">
        <v>3420.6476519571252</v>
      </c>
      <c r="AD9" s="65">
        <v>548.90554220888237</v>
      </c>
      <c r="AE9" s="65">
        <v>0</v>
      </c>
      <c r="AF9" s="65">
        <v>0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61">
        <v>8098.0510806456514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61">
        <v>4521.0757968848939</v>
      </c>
      <c r="K11" s="52" t="s">
        <v>16</v>
      </c>
      <c r="L11" s="23">
        <f>SUM(L8:M8)</f>
        <v>152385.20696914167</v>
      </c>
      <c r="M11" s="23">
        <f>SUM(N8)</f>
        <v>429277.15096248733</v>
      </c>
      <c r="N11" s="23">
        <f>SUM(P8:Q8)</f>
        <v>235.50622415553545</v>
      </c>
      <c r="O11" s="23">
        <f>SUM(O8,R8:AA8)</f>
        <v>109082.2442613686</v>
      </c>
      <c r="P11" s="23">
        <f>SUM(AB8:AF8)</f>
        <v>23167.530581639254</v>
      </c>
      <c r="Q11" s="5">
        <f>SUM(L11:P11)</f>
        <v>714147.63899879251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61">
        <v>363.07395904715497</v>
      </c>
      <c r="K12" s="49" t="s">
        <v>41</v>
      </c>
      <c r="L12" s="23">
        <f>SUM(L7:M7)</f>
        <v>6601.4076691779346</v>
      </c>
      <c r="M12" s="23">
        <f>SUM(N7)</f>
        <v>16869.574166049981</v>
      </c>
      <c r="N12" s="23">
        <f>SUM(P7:Q7)</f>
        <v>0</v>
      </c>
      <c r="O12" s="23">
        <f>SUM(O7,R7:AA7)</f>
        <v>0.892370103671425</v>
      </c>
      <c r="P12" s="23">
        <f>SUM(AB7:AF7)</f>
        <v>285.28179466841294</v>
      </c>
      <c r="Q12" s="5">
        <f t="shared" ref="Q12:Q13" si="0">SUM(L12:P12)</f>
        <v>23757.155999999999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61">
        <v>29187.288539699231</v>
      </c>
      <c r="K13" s="23" t="s">
        <v>12</v>
      </c>
      <c r="L13" s="23">
        <f>SUM(L9:M9)</f>
        <v>0</v>
      </c>
      <c r="M13" s="24">
        <f>SUM(N9)</f>
        <v>64554.361604004778</v>
      </c>
      <c r="N13" s="23">
        <f>SUM(P9:Q9)</f>
        <v>35648.784396039591</v>
      </c>
      <c r="O13" s="23">
        <f>SUM(O9,R9:AA9)</f>
        <v>56486.428805789663</v>
      </c>
      <c r="P13" s="23">
        <f>SUM(AB9:AF9)</f>
        <v>3969.5531941660074</v>
      </c>
      <c r="Q13" s="5">
        <f t="shared" si="0"/>
        <v>160659.12800000006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61">
        <v>34.003594168785121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61">
        <v>225.46127159233319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61">
        <v>833.06996365883754</v>
      </c>
      <c r="K16" s="5" t="s">
        <v>213</v>
      </c>
      <c r="L16" s="5">
        <f>미시사회행렬국산!B37-미시사회행렬국산!B34-미시사회행렬국산!B36</f>
        <v>59760.497200813043</v>
      </c>
      <c r="M16" s="5">
        <f>미시사회행렬국산!C37-미시사회행렬국산!C34-미시사회행렬국산!C36</f>
        <v>4273.5521608673153</v>
      </c>
      <c r="N16" s="5">
        <f>미시사회행렬국산!D37-미시사회행렬국산!D34-미시사회행렬국산!D36</f>
        <v>1488475.148393563</v>
      </c>
      <c r="O16" s="5">
        <f>미시사회행렬국산!E37-미시사회행렬국산!E34-미시사회행렬국산!E36</f>
        <v>174240.26937787019</v>
      </c>
      <c r="P16" s="5">
        <f>미시사회행렬국산!F37-미시사회행렬국산!F34-미시사회행렬국산!F36</f>
        <v>121055.81878749523</v>
      </c>
      <c r="Q16" s="5">
        <f>미시사회행렬국산!G37-미시사회행렬국산!G34-미시사회행렬국산!G36</f>
        <v>275134.1059883493</v>
      </c>
      <c r="R16" s="5">
        <f>미시사회행렬국산!H37-미시사회행렬국산!H34-미시사회행렬국산!H36</f>
        <v>139017.53962600313</v>
      </c>
      <c r="S16" s="5">
        <f>미시사회행렬국산!I37-미시사회행렬국산!I34-미시사회행렬국산!I36</f>
        <v>168333.52525740658</v>
      </c>
      <c r="T16" s="5">
        <f>미시사회행렬국산!J37-미시사회행렬국산!J34-미시사회행렬국산!J36</f>
        <v>113173.06815855106</v>
      </c>
      <c r="U16" s="5">
        <f>미시사회행렬국산!K37-미시사회행렬국산!K34-미시사회행렬국산!K36</f>
        <v>181254.30504470327</v>
      </c>
      <c r="V16" s="5">
        <f>미시사회행렬국산!L37-미시사회행렬국산!L34-미시사회행렬국산!L36</f>
        <v>228758.24766262001</v>
      </c>
      <c r="W16" s="5">
        <f>미시사회행렬국산!M37-미시사회행렬국산!M34-미시사회행렬국산!M36</f>
        <v>287190.78924561432</v>
      </c>
      <c r="X16" s="5">
        <f>미시사회행렬국산!N37-미시사회행렬국산!N34-미시사회행렬국산!N36</f>
        <v>158709.17890681632</v>
      </c>
      <c r="Y16" s="5">
        <f>미시사회행렬국산!O37-미시사회행렬국산!O34-미시사회행렬국산!O36</f>
        <v>129976.78452655335</v>
      </c>
      <c r="Z16" s="5">
        <f>미시사회행렬국산!P37-미시사회행렬국산!P34-미시사회행렬국산!P36</f>
        <v>167370.48958162722</v>
      </c>
      <c r="AA16" s="5">
        <f>미시사회행렬국산!Q37-미시사회행렬국산!Q34-미시사회행렬국산!Q36</f>
        <v>108404.81571916224</v>
      </c>
      <c r="AB16" s="5">
        <f>미시사회행렬국산!R37-미시사회행렬국산!R34-미시사회행렬국산!R36</f>
        <v>19416.66596629881</v>
      </c>
      <c r="AC16" s="5">
        <f>미시사회행렬국산!S37-미시사회행렬국산!S34-미시사회행렬국산!S36</f>
        <v>107246.75213336789</v>
      </c>
      <c r="AD16" s="5">
        <f>미시사회행렬국산!T37-미시사회행렬국산!T34-미시사회행렬국산!T36</f>
        <v>33906.078403590858</v>
      </c>
      <c r="AE16" s="5">
        <f>미시사회행렬국산!U37-미시사회행렬국산!U34-미시사회행렬국산!U36</f>
        <v>27251.072870740318</v>
      </c>
      <c r="AF16" s="5">
        <f>미시사회행렬국산!V37-미시사회행렬국산!V34-미시사회행렬국산!V36</f>
        <v>3910.0078300944824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61">
        <v>2053.7104047446701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61">
        <v>5873.5041321470462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61">
        <v>13501.321554375239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61">
        <v>4212.5652680735666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61">
        <v>1973.2869637576371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61">
        <v>0.20829878801596241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 x14ac:dyDescent="0.3">
      <c r="A31" t="s">
        <v>186</v>
      </c>
      <c r="B31" s="19">
        <f>SUM(G2:G3)</f>
        <v>3828.8519669175562</v>
      </c>
      <c r="C31" s="39"/>
      <c r="D31" s="39"/>
      <c r="E31" s="39"/>
      <c r="F31" s="39"/>
      <c r="G31">
        <f>B31/$G$36</f>
        <v>5.0273593088867048E-3</v>
      </c>
      <c r="K31" t="s">
        <v>186</v>
      </c>
      <c r="L31" s="19">
        <f>SUM(L16:M16)</f>
        <v>64034.049361680358</v>
      </c>
      <c r="M31" s="39"/>
      <c r="N31" s="39"/>
      <c r="O31" s="39"/>
      <c r="P31" s="39"/>
    </row>
    <row r="32" spans="1:31" x14ac:dyDescent="0.3">
      <c r="A32" t="s">
        <v>47</v>
      </c>
      <c r="B32" s="39"/>
      <c r="C32" s="19">
        <f>SUM(G4)</f>
        <v>618894.43178437673</v>
      </c>
      <c r="D32" s="39"/>
      <c r="E32" s="39"/>
      <c r="F32" s="39"/>
      <c r="G32">
        <f>C32/$G$36</f>
        <v>0.8126207828698564</v>
      </c>
      <c r="K32" t="s">
        <v>47</v>
      </c>
      <c r="L32" s="39"/>
      <c r="M32" s="19">
        <f>SUM(N16)</f>
        <v>1488475.148393563</v>
      </c>
      <c r="N32" s="39"/>
      <c r="O32" s="39"/>
      <c r="P32" s="39"/>
    </row>
    <row r="33" spans="1:16" x14ac:dyDescent="0.3">
      <c r="A33" t="s">
        <v>187</v>
      </c>
      <c r="B33" s="39"/>
      <c r="C33" s="39"/>
      <c r="D33" s="19">
        <f>SUM(G6:G7)</f>
        <v>1279.7410849907826</v>
      </c>
      <c r="E33" s="39"/>
      <c r="F33" s="39"/>
      <c r="G33">
        <f>D33/$G$36</f>
        <v>1.6803256725991139E-3</v>
      </c>
      <c r="K33" t="s">
        <v>187</v>
      </c>
      <c r="L33" s="39"/>
      <c r="M33" s="39"/>
      <c r="N33" s="19">
        <f>SUM(P16:Q16)</f>
        <v>396189.92477584456</v>
      </c>
      <c r="O33" s="39"/>
      <c r="P33" s="39"/>
    </row>
    <row r="34" spans="1:16" x14ac:dyDescent="0.3">
      <c r="A34" t="s">
        <v>49</v>
      </c>
      <c r="B34" s="39"/>
      <c r="C34" s="39"/>
      <c r="D34" s="39"/>
      <c r="E34" s="19">
        <f>SUM(G5,G8:G17)</f>
        <v>112039.09594657339</v>
      </c>
      <c r="F34" s="39"/>
      <c r="G34">
        <f>E34/$G$36</f>
        <v>0.14710957666501623</v>
      </c>
      <c r="K34" t="s">
        <v>49</v>
      </c>
      <c r="L34" s="39"/>
      <c r="M34" s="39"/>
      <c r="N34" s="39"/>
      <c r="O34" s="19">
        <f>SUM(O16,R16:AA16)</f>
        <v>1856429.013106928</v>
      </c>
      <c r="P34" s="39"/>
    </row>
    <row r="35" spans="1:16" x14ac:dyDescent="0.3">
      <c r="A35" t="s">
        <v>50</v>
      </c>
      <c r="B35" s="39"/>
      <c r="C35" s="39"/>
      <c r="D35" s="39"/>
      <c r="E35" s="39"/>
      <c r="F35" s="19">
        <f>SUM(G18:G22)</f>
        <v>25560.886217141506</v>
      </c>
      <c r="G35">
        <f>F35/$G$36</f>
        <v>3.3561955483641499E-2</v>
      </c>
      <c r="K35" t="s">
        <v>50</v>
      </c>
      <c r="L35" s="39"/>
      <c r="M35" s="39"/>
      <c r="N35" s="39"/>
      <c r="O35" s="39"/>
      <c r="P35" s="19">
        <f>SUM(AB16:AF16)</f>
        <v>191730.57720409235</v>
      </c>
    </row>
    <row r="36" spans="1:16" x14ac:dyDescent="0.3">
      <c r="A36" t="s">
        <v>67</v>
      </c>
      <c r="G36" s="14">
        <f>SUM(B31,C32,D33,E34,F35)</f>
        <v>761603.00699999998</v>
      </c>
      <c r="H36" s="44">
        <v>761603</v>
      </c>
    </row>
    <row r="37" spans="1:16" x14ac:dyDescent="0.3">
      <c r="A37" t="s">
        <v>56</v>
      </c>
    </row>
    <row r="38" spans="1:16" x14ac:dyDescent="0.3">
      <c r="L38" t="s">
        <v>189</v>
      </c>
    </row>
    <row r="39" spans="1:16" x14ac:dyDescent="0.3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 x14ac:dyDescent="0.3">
      <c r="K40" t="s">
        <v>186</v>
      </c>
      <c r="L40" s="19">
        <f>L31-B31</f>
        <v>60205.197394762799</v>
      </c>
      <c r="M40" s="39"/>
      <c r="N40" s="39"/>
      <c r="O40" s="39"/>
      <c r="P40" s="39"/>
    </row>
    <row r="41" spans="1:16" x14ac:dyDescent="0.3">
      <c r="K41" t="s">
        <v>47</v>
      </c>
      <c r="L41" s="39"/>
      <c r="M41" s="19">
        <f>M32-C32</f>
        <v>869580.71660918626</v>
      </c>
      <c r="N41" s="39"/>
      <c r="O41" s="39"/>
      <c r="P41" s="39"/>
    </row>
    <row r="42" spans="1:16" x14ac:dyDescent="0.3">
      <c r="K42" t="s">
        <v>187</v>
      </c>
      <c r="L42" s="39"/>
      <c r="M42" s="39"/>
      <c r="N42" s="19">
        <f>N33-D33</f>
        <v>394910.18369085377</v>
      </c>
      <c r="O42" s="39"/>
      <c r="P42" s="39"/>
    </row>
    <row r="43" spans="1:16" x14ac:dyDescent="0.3">
      <c r="K43" t="s">
        <v>49</v>
      </c>
      <c r="L43" s="39"/>
      <c r="M43" s="39"/>
      <c r="N43" s="39"/>
      <c r="O43" s="19">
        <f>O34-E34</f>
        <v>1744389.9171603546</v>
      </c>
      <c r="P43" s="39"/>
    </row>
    <row r="44" spans="1:16" x14ac:dyDescent="0.3">
      <c r="K44" t="s">
        <v>50</v>
      </c>
      <c r="L44" s="39"/>
      <c r="M44" s="39"/>
      <c r="N44" s="39"/>
      <c r="O44" s="39"/>
      <c r="P44" s="19">
        <f>P35-F35</f>
        <v>166169.69098695085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>
      <selection activeCell="B2" sqref="B2:F22"/>
    </sheetView>
  </sheetViews>
  <sheetFormatPr defaultRowHeight="17.25" x14ac:dyDescent="0.3"/>
  <cols>
    <col min="1" max="1" width="32.88671875" bestFit="1" customWidth="1"/>
    <col min="2" max="2" width="12.77734375" bestFit="1" customWidth="1"/>
    <col min="3" max="3" width="11.109375" bestFit="1" customWidth="1"/>
    <col min="4" max="5" width="10.109375" bestFit="1" customWidth="1"/>
    <col min="6" max="6" width="12.77734375" bestFit="1" customWidth="1"/>
    <col min="7" max="8" width="11.109375" bestFit="1" customWidth="1"/>
    <col min="10" max="10" width="32.88671875" bestFit="1" customWidth="1"/>
    <col min="11" max="11" width="12.5546875" bestFit="1" customWidth="1"/>
    <col min="12" max="12" width="9" bestFit="1" customWidth="1"/>
    <col min="13" max="13" width="10" bestFit="1" customWidth="1"/>
    <col min="14" max="15" width="9" bestFit="1" customWidth="1"/>
    <col min="16" max="16" width="10" bestFit="1" customWidth="1"/>
    <col min="17" max="31" width="9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J9" s="1" t="s">
        <v>19</v>
      </c>
      <c r="K9" s="4">
        <v>4473.0429999999997</v>
      </c>
      <c r="L9" s="4">
        <v>4.319</v>
      </c>
      <c r="M9" s="4">
        <v>39046.895121900001</v>
      </c>
      <c r="N9" s="4">
        <v>49.076796000000002</v>
      </c>
      <c r="O9" s="4">
        <v>10.343</v>
      </c>
      <c r="P9" s="4">
        <v>380.60899999999998</v>
      </c>
      <c r="Q9" s="4">
        <v>21.111999999999998</v>
      </c>
      <c r="R9" s="4">
        <v>9454.4419999999991</v>
      </c>
      <c r="S9" s="4">
        <v>19.204805</v>
      </c>
      <c r="T9" s="4">
        <v>36.036000000000001</v>
      </c>
      <c r="U9" s="4">
        <v>8.7260000000000009</v>
      </c>
      <c r="V9" s="4">
        <v>281.93489679999999</v>
      </c>
      <c r="W9" s="4">
        <v>290.95</v>
      </c>
      <c r="X9" s="4">
        <v>89.918999999999997</v>
      </c>
      <c r="Y9" s="4">
        <v>1150.008</v>
      </c>
      <c r="Z9" s="4">
        <v>203.1617104</v>
      </c>
      <c r="AA9" s="4">
        <v>2.0258780999999999</v>
      </c>
      <c r="AB9" s="4">
        <v>30.207204000000001</v>
      </c>
      <c r="AC9" s="4">
        <v>3.135195</v>
      </c>
      <c r="AD9" s="4">
        <v>136.08210320000001</v>
      </c>
      <c r="AE9" s="4">
        <v>5.1982895999999998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J10" s="1" t="s">
        <v>20</v>
      </c>
      <c r="K10" s="4">
        <v>0.56000000000000005</v>
      </c>
      <c r="L10" s="4">
        <v>2.1800000000000002</v>
      </c>
      <c r="M10" s="4">
        <v>110842.21400000001</v>
      </c>
      <c r="N10" s="4">
        <v>0</v>
      </c>
      <c r="O10" s="4">
        <v>37676.635000000002</v>
      </c>
      <c r="P10" s="4">
        <v>293.53500000000003</v>
      </c>
      <c r="Q10" s="4">
        <v>0</v>
      </c>
      <c r="R10" s="4">
        <v>4.194</v>
      </c>
      <c r="S10" s="4">
        <v>0</v>
      </c>
      <c r="T10" s="4">
        <v>0</v>
      </c>
      <c r="U10" s="4">
        <v>0.127</v>
      </c>
      <c r="V10" s="4">
        <v>23.072650799999998</v>
      </c>
      <c r="W10" s="4">
        <v>5.3920000000000003</v>
      </c>
      <c r="X10" s="4">
        <v>9.6000000000000002E-2</v>
      </c>
      <c r="Y10" s="4">
        <v>8.6430000000000007</v>
      </c>
      <c r="Z10" s="4">
        <v>2.0779999999999998</v>
      </c>
      <c r="AA10" s="4">
        <v>0</v>
      </c>
      <c r="AB10" s="4">
        <v>0</v>
      </c>
      <c r="AC10" s="4">
        <v>0</v>
      </c>
      <c r="AD10" s="4">
        <v>0.5723492</v>
      </c>
      <c r="AE10" s="4">
        <v>0</v>
      </c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J11" s="1" t="s">
        <v>21</v>
      </c>
      <c r="K11" s="4">
        <v>17747.875359400001</v>
      </c>
      <c r="L11" s="4">
        <v>659.44305039999995</v>
      </c>
      <c r="M11" s="4">
        <v>839233.6035804787</v>
      </c>
      <c r="N11" s="4">
        <v>12865.232927056899</v>
      </c>
      <c r="O11" s="4">
        <v>13861.0813655</v>
      </c>
      <c r="P11" s="4">
        <v>103098.13265129999</v>
      </c>
      <c r="Q11" s="4">
        <v>41947.463117600004</v>
      </c>
      <c r="R11" s="4">
        <v>58596.154099299994</v>
      </c>
      <c r="S11" s="4">
        <v>8200.9914303199803</v>
      </c>
      <c r="T11" s="4">
        <v>4030.4418646999998</v>
      </c>
      <c r="U11" s="4">
        <v>3766.4950039</v>
      </c>
      <c r="V11" s="4">
        <v>33513.140411987762</v>
      </c>
      <c r="W11" s="4">
        <v>9881.3841632000003</v>
      </c>
      <c r="X11" s="4">
        <v>7971.0091967999997</v>
      </c>
      <c r="Y11" s="4">
        <v>39895.570822400005</v>
      </c>
      <c r="Z11" s="4">
        <v>24575.584037496323</v>
      </c>
      <c r="AA11" s="4">
        <v>9481.8572919213293</v>
      </c>
      <c r="AB11" s="4">
        <v>7918.6651780430993</v>
      </c>
      <c r="AC11" s="4">
        <v>2532.2076575800197</v>
      </c>
      <c r="AD11" s="4">
        <v>2417.9420603122398</v>
      </c>
      <c r="AE11" s="4">
        <v>300.55839810368002</v>
      </c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J12" s="1" t="s">
        <v>22</v>
      </c>
      <c r="K12" s="4">
        <v>1435.5662299999999</v>
      </c>
      <c r="L12" s="4">
        <v>35.198197</v>
      </c>
      <c r="M12" s="4">
        <v>43166.554754787896</v>
      </c>
      <c r="N12" s="4">
        <v>4423.724786062</v>
      </c>
      <c r="O12" s="4">
        <v>745.36637400000006</v>
      </c>
      <c r="P12" s="4">
        <v>5118.3661540000003</v>
      </c>
      <c r="Q12" s="4">
        <v>1780.2489520000001</v>
      </c>
      <c r="R12" s="4">
        <v>8450.0668020000012</v>
      </c>
      <c r="S12" s="4">
        <v>5037.7166552658009</v>
      </c>
      <c r="T12" s="4">
        <v>585.75289100000009</v>
      </c>
      <c r="U12" s="4">
        <v>381.59492999999998</v>
      </c>
      <c r="V12" s="4">
        <v>3221.8914249036002</v>
      </c>
      <c r="W12" s="4">
        <v>1030.6090019999999</v>
      </c>
      <c r="X12" s="4">
        <v>1202.5059210000002</v>
      </c>
      <c r="Y12" s="4">
        <v>7098.1243770000001</v>
      </c>
      <c r="Z12" s="4">
        <v>3079.3324182056003</v>
      </c>
      <c r="AA12" s="4">
        <v>664.37594721210007</v>
      </c>
      <c r="AB12" s="4">
        <v>2722.8419119380001</v>
      </c>
      <c r="AC12" s="4">
        <v>296.95781073420011</v>
      </c>
      <c r="AD12" s="4">
        <v>276.69162309640001</v>
      </c>
      <c r="AE12" s="4">
        <v>45.609230794399998</v>
      </c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J13" s="1" t="s">
        <v>23</v>
      </c>
      <c r="K13" s="4">
        <v>915.38099999999997</v>
      </c>
      <c r="L13" s="4">
        <v>108.59</v>
      </c>
      <c r="M13" s="4">
        <v>37997.902108800001</v>
      </c>
      <c r="N13" s="4">
        <v>2401.5373949999998</v>
      </c>
      <c r="O13" s="4">
        <v>16182.191999999999</v>
      </c>
      <c r="P13" s="4">
        <v>1052.788</v>
      </c>
      <c r="Q13" s="4">
        <v>2613.6729999999998</v>
      </c>
      <c r="R13" s="4">
        <v>5156.241</v>
      </c>
      <c r="S13" s="4">
        <v>1262.4525538</v>
      </c>
      <c r="T13" s="4">
        <v>1434.4010000000001</v>
      </c>
      <c r="U13" s="4">
        <v>3101.9870000000001</v>
      </c>
      <c r="V13" s="4">
        <v>8317.9505816000001</v>
      </c>
      <c r="W13" s="4">
        <v>1856.575</v>
      </c>
      <c r="X13" s="4">
        <v>3970.3519999999999</v>
      </c>
      <c r="Y13" s="4">
        <v>5150.9740000000002</v>
      </c>
      <c r="Z13" s="4">
        <v>2653.2842648000001</v>
      </c>
      <c r="AA13" s="4">
        <v>192.56589120000001</v>
      </c>
      <c r="AB13" s="4">
        <v>1478.1676050000001</v>
      </c>
      <c r="AC13" s="4">
        <v>162.1914462</v>
      </c>
      <c r="AD13" s="4">
        <v>566.94141839999998</v>
      </c>
      <c r="AE13" s="4">
        <v>46.388735199999999</v>
      </c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J14" s="1" t="s">
        <v>24</v>
      </c>
      <c r="K14" s="4">
        <v>81.793000000000006</v>
      </c>
      <c r="L14" s="4">
        <v>16.648</v>
      </c>
      <c r="M14" s="4">
        <v>1208.1629416000001</v>
      </c>
      <c r="N14" s="4">
        <v>187.527907</v>
      </c>
      <c r="O14" s="4">
        <v>539.93100000000004</v>
      </c>
      <c r="P14" s="4">
        <v>87.266000000000005</v>
      </c>
      <c r="Q14" s="4">
        <v>216.84</v>
      </c>
      <c r="R14" s="4">
        <v>337.71300000000002</v>
      </c>
      <c r="S14" s="4">
        <v>231.3851392</v>
      </c>
      <c r="T14" s="4">
        <v>92.283000000000001</v>
      </c>
      <c r="U14" s="4">
        <v>9163.8279999999995</v>
      </c>
      <c r="V14" s="4">
        <v>678.84524399999998</v>
      </c>
      <c r="W14" s="4">
        <v>833.03499999999997</v>
      </c>
      <c r="X14" s="4">
        <v>176.26599999999999</v>
      </c>
      <c r="Y14" s="4">
        <v>115.029</v>
      </c>
      <c r="Z14" s="4">
        <v>224.06989199999998</v>
      </c>
      <c r="AA14" s="4">
        <v>14.5810584</v>
      </c>
      <c r="AB14" s="4">
        <v>115.42509299999999</v>
      </c>
      <c r="AC14" s="4">
        <v>31.973860799999997</v>
      </c>
      <c r="AD14" s="4">
        <v>80.560756000000012</v>
      </c>
      <c r="AE14" s="4">
        <v>3.387108</v>
      </c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J15" s="1" t="s">
        <v>25</v>
      </c>
      <c r="K15" s="4">
        <v>1006.255</v>
      </c>
      <c r="L15" s="4">
        <v>626.02099999999996</v>
      </c>
      <c r="M15" s="4">
        <v>46872.543870399997</v>
      </c>
      <c r="N15" s="4">
        <v>13230.593897999999</v>
      </c>
      <c r="O15" s="4">
        <v>1782.85</v>
      </c>
      <c r="P15" s="4">
        <v>2406.4050000000002</v>
      </c>
      <c r="Q15" s="4">
        <v>23796.05</v>
      </c>
      <c r="R15" s="4">
        <v>1142.2760000000001</v>
      </c>
      <c r="S15" s="4">
        <v>1766.2126880000001</v>
      </c>
      <c r="T15" s="4">
        <v>885.10400000000004</v>
      </c>
      <c r="U15" s="4">
        <v>570.495</v>
      </c>
      <c r="V15" s="4">
        <v>4964.6881651999993</v>
      </c>
      <c r="W15" s="4">
        <v>2587.777</v>
      </c>
      <c r="X15" s="4">
        <v>476.87299999999999</v>
      </c>
      <c r="Y15" s="4">
        <v>603.60299999999995</v>
      </c>
      <c r="Z15" s="4">
        <v>1183.1409328</v>
      </c>
      <c r="AA15" s="4">
        <v>546.23112960000003</v>
      </c>
      <c r="AB15" s="4">
        <v>8143.5481019999997</v>
      </c>
      <c r="AC15" s="4">
        <v>851.16931199999999</v>
      </c>
      <c r="AD15" s="4">
        <v>754.48183480000012</v>
      </c>
      <c r="AE15" s="4">
        <v>72.810067200000006</v>
      </c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J16" s="1" t="s">
        <v>26</v>
      </c>
      <c r="K16" s="4">
        <v>621.39800000000002</v>
      </c>
      <c r="L16" s="4">
        <v>98.004000000000005</v>
      </c>
      <c r="M16" s="4">
        <v>11723.701414200001</v>
      </c>
      <c r="N16" s="4">
        <v>7536.5775519999997</v>
      </c>
      <c r="O16" s="4">
        <v>931.19500000000005</v>
      </c>
      <c r="P16" s="4">
        <v>1142.242</v>
      </c>
      <c r="Q16" s="4">
        <v>2630.5990000000002</v>
      </c>
      <c r="R16" s="4">
        <v>1862.1780000000001</v>
      </c>
      <c r="S16" s="4">
        <v>1937.6779828000001</v>
      </c>
      <c r="T16" s="4">
        <v>4717.0230000000001</v>
      </c>
      <c r="U16" s="4">
        <v>1681.306</v>
      </c>
      <c r="V16" s="4">
        <v>11055.381019999999</v>
      </c>
      <c r="W16" s="4">
        <v>3037.89</v>
      </c>
      <c r="X16" s="4">
        <v>8070.6440000000002</v>
      </c>
      <c r="Y16" s="4">
        <v>5936.2950000000001</v>
      </c>
      <c r="Z16" s="4">
        <v>5060.3196383999993</v>
      </c>
      <c r="AA16" s="4">
        <v>226.40558580000001</v>
      </c>
      <c r="AB16" s="4">
        <v>4638.8304479999997</v>
      </c>
      <c r="AC16" s="4">
        <v>483.96501719999998</v>
      </c>
      <c r="AD16" s="4">
        <v>1011.14198</v>
      </c>
      <c r="AE16" s="4">
        <v>838.8803615999999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J17" s="1" t="s">
        <v>27</v>
      </c>
      <c r="K17" s="4">
        <v>198.75600700000001</v>
      </c>
      <c r="L17" s="4">
        <v>15.678584600000001</v>
      </c>
      <c r="M17" s="4">
        <v>4108.9196559271995</v>
      </c>
      <c r="N17" s="4">
        <v>5859.2509027574006</v>
      </c>
      <c r="O17" s="4">
        <v>371.8069686</v>
      </c>
      <c r="P17" s="4">
        <v>407.80618420000002</v>
      </c>
      <c r="Q17" s="4">
        <v>1504.1990863999999</v>
      </c>
      <c r="R17" s="4">
        <v>1288.3053936000001</v>
      </c>
      <c r="S17" s="4">
        <v>13080.609454265599</v>
      </c>
      <c r="T17" s="4">
        <v>6985.7902255999998</v>
      </c>
      <c r="U17" s="4">
        <v>813.33554520000007</v>
      </c>
      <c r="V17" s="4">
        <v>15062.23582511872</v>
      </c>
      <c r="W17" s="4">
        <v>2234.9409267999999</v>
      </c>
      <c r="X17" s="4">
        <v>2565.3153605999996</v>
      </c>
      <c r="Y17" s="4">
        <v>550.25241579999999</v>
      </c>
      <c r="Z17" s="4">
        <v>2298.6356917206399</v>
      </c>
      <c r="AA17" s="4">
        <v>77.233292872799993</v>
      </c>
      <c r="AB17" s="4">
        <v>3606.4209918426</v>
      </c>
      <c r="AC17" s="4">
        <v>2392.1200843344</v>
      </c>
      <c r="AD17" s="4">
        <v>535.67653568127992</v>
      </c>
      <c r="AE17" s="4">
        <v>156.42059027936</v>
      </c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J18" s="1" t="s">
        <v>28</v>
      </c>
      <c r="K18" s="4">
        <v>1231.0119999999999</v>
      </c>
      <c r="L18" s="4">
        <v>191.881</v>
      </c>
      <c r="M18" s="4">
        <v>18623.606704999998</v>
      </c>
      <c r="N18" s="4">
        <v>5027.0351799999999</v>
      </c>
      <c r="O18" s="4">
        <v>2048.471</v>
      </c>
      <c r="P18" s="4">
        <v>5248.2089999999998</v>
      </c>
      <c r="Q18" s="4">
        <v>2440.3780000000002</v>
      </c>
      <c r="R18" s="4">
        <v>3163.9119999999998</v>
      </c>
      <c r="S18" s="4">
        <v>1425.7833298</v>
      </c>
      <c r="T18" s="4">
        <v>28519.482</v>
      </c>
      <c r="U18" s="4">
        <v>20055.798999999999</v>
      </c>
      <c r="V18" s="4">
        <v>5154.3130964000002</v>
      </c>
      <c r="W18" s="4">
        <v>4989.7780000000002</v>
      </c>
      <c r="X18" s="4">
        <v>1699.3879999999999</v>
      </c>
      <c r="Y18" s="4">
        <v>3701.8310000000001</v>
      </c>
      <c r="Z18" s="4">
        <v>1994.7095967999999</v>
      </c>
      <c r="AA18" s="4">
        <v>302.27329499999996</v>
      </c>
      <c r="AB18" s="4">
        <v>3094.1848199999999</v>
      </c>
      <c r="AC18" s="4">
        <v>350.77867019999997</v>
      </c>
      <c r="AD18" s="4">
        <v>261.10590359999998</v>
      </c>
      <c r="AE18" s="4">
        <v>130.98140319999999</v>
      </c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J19" s="1" t="s">
        <v>29</v>
      </c>
      <c r="K19" s="4">
        <v>66.954999999999998</v>
      </c>
      <c r="L19" s="4">
        <v>7.782</v>
      </c>
      <c r="M19" s="4">
        <v>3812.8829238999997</v>
      </c>
      <c r="N19" s="4">
        <v>9594.3285370000012</v>
      </c>
      <c r="O19" s="4">
        <v>564.05100000000004</v>
      </c>
      <c r="P19" s="4">
        <v>781.476</v>
      </c>
      <c r="Q19" s="4">
        <v>1530.2639999999999</v>
      </c>
      <c r="R19" s="4">
        <v>11059.503000000001</v>
      </c>
      <c r="S19" s="4">
        <v>1260.54375</v>
      </c>
      <c r="T19" s="4">
        <v>7292.3990000000003</v>
      </c>
      <c r="U19" s="4">
        <v>7982.9769999999999</v>
      </c>
      <c r="V19" s="4">
        <v>7643.1378156000001</v>
      </c>
      <c r="W19" s="4">
        <v>1738.5119999999999</v>
      </c>
      <c r="X19" s="4">
        <v>2240.83</v>
      </c>
      <c r="Y19" s="4">
        <v>3964.5590000000002</v>
      </c>
      <c r="Z19" s="4">
        <v>2135.0154175999996</v>
      </c>
      <c r="AA19" s="4">
        <v>72.34307609999999</v>
      </c>
      <c r="AB19" s="4">
        <v>5905.3944630000005</v>
      </c>
      <c r="AC19" s="4">
        <v>400.34924999999998</v>
      </c>
      <c r="AD19" s="4">
        <v>419.91518440000004</v>
      </c>
      <c r="AE19" s="4">
        <v>185.7835824</v>
      </c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J20" s="1" t="s">
        <v>30</v>
      </c>
      <c r="K20" s="4">
        <v>1288.728584</v>
      </c>
      <c r="L20" s="4">
        <v>375.57602839999998</v>
      </c>
      <c r="M20" s="4">
        <v>62096.167612459125</v>
      </c>
      <c r="N20" s="4">
        <v>14791.599912481601</v>
      </c>
      <c r="O20" s="4">
        <v>4432.4957904000003</v>
      </c>
      <c r="P20" s="4">
        <v>19824.860771600001</v>
      </c>
      <c r="Q20" s="4">
        <v>13794.367159199999</v>
      </c>
      <c r="R20" s="4">
        <v>4954.8961156000005</v>
      </c>
      <c r="S20" s="4">
        <v>11740.967295653199</v>
      </c>
      <c r="T20" s="4">
        <v>14557.4969272</v>
      </c>
      <c r="U20" s="4">
        <v>12016.583045199999</v>
      </c>
      <c r="V20" s="4">
        <v>30184.3030770648</v>
      </c>
      <c r="W20" s="4">
        <v>5924.7485372000001</v>
      </c>
      <c r="X20" s="4">
        <v>4699.5799731999996</v>
      </c>
      <c r="Y20" s="4">
        <v>2958.9091639999997</v>
      </c>
      <c r="Z20" s="4">
        <v>4794.6532434396804</v>
      </c>
      <c r="AA20" s="4">
        <v>632.97026714087997</v>
      </c>
      <c r="AB20" s="4">
        <v>9104.3611739183998</v>
      </c>
      <c r="AC20" s="4">
        <v>2285.6313339467997</v>
      </c>
      <c r="AD20" s="4">
        <v>2190.7591505351998</v>
      </c>
      <c r="AE20" s="4">
        <v>196.25138856031998</v>
      </c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J21" s="1" t="s">
        <v>31</v>
      </c>
      <c r="K21" s="4">
        <v>94.936000000000007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581.79499999999996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2823.0039999999999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J22" s="1" t="s">
        <v>32</v>
      </c>
      <c r="K22" s="4">
        <v>3.4510000000000001</v>
      </c>
      <c r="L22" s="4">
        <v>0.70699999999999996</v>
      </c>
      <c r="M22" s="4">
        <v>626.90538159999994</v>
      </c>
      <c r="N22" s="4">
        <v>348.27168399999999</v>
      </c>
      <c r="O22" s="4">
        <v>38.387</v>
      </c>
      <c r="P22" s="4">
        <v>51.889000000000003</v>
      </c>
      <c r="Q22" s="4">
        <v>51.598999999999997</v>
      </c>
      <c r="R22" s="4">
        <v>76.75</v>
      </c>
      <c r="S22" s="4">
        <v>77.604131199999998</v>
      </c>
      <c r="T22" s="4">
        <v>276.07499999999999</v>
      </c>
      <c r="U22" s="4">
        <v>87.951999999999998</v>
      </c>
      <c r="V22" s="4">
        <v>290.4345404</v>
      </c>
      <c r="W22" s="4">
        <v>9.5559999999999992</v>
      </c>
      <c r="X22" s="4">
        <v>45.902999999999999</v>
      </c>
      <c r="Y22" s="4">
        <v>15.39</v>
      </c>
      <c r="Z22" s="4">
        <v>75.608513600000009</v>
      </c>
      <c r="AA22" s="4">
        <v>6.977618399999999</v>
      </c>
      <c r="AB22" s="4">
        <v>214.364316</v>
      </c>
      <c r="AC22" s="4">
        <v>9.9878687999999993</v>
      </c>
      <c r="AD22" s="4">
        <v>21.240459599999998</v>
      </c>
      <c r="AE22" s="4">
        <v>7.1974863999999998</v>
      </c>
    </row>
    <row r="23" spans="1:31" x14ac:dyDescent="0.3">
      <c r="J23" s="1" t="s">
        <v>33</v>
      </c>
      <c r="K23" s="4">
        <v>134.27199999999999</v>
      </c>
      <c r="L23" s="4">
        <v>12.196999999999999</v>
      </c>
      <c r="M23" s="4">
        <v>1693.6408796000001</v>
      </c>
      <c r="N23" s="4">
        <v>674.650576</v>
      </c>
      <c r="O23" s="4">
        <v>162.483</v>
      </c>
      <c r="P23" s="4">
        <v>432.90600000000001</v>
      </c>
      <c r="Q23" s="4">
        <v>204.63800000000001</v>
      </c>
      <c r="R23" s="4">
        <v>630.59199999999998</v>
      </c>
      <c r="S23" s="4">
        <v>179.65007420000001</v>
      </c>
      <c r="T23" s="4">
        <v>538.45600000000002</v>
      </c>
      <c r="U23" s="4">
        <v>170.917</v>
      </c>
      <c r="V23" s="4">
        <v>805.41984479999996</v>
      </c>
      <c r="W23" s="4">
        <v>101.083</v>
      </c>
      <c r="X23" s="4">
        <v>264.18099999999998</v>
      </c>
      <c r="Y23" s="4">
        <v>803.93299999999999</v>
      </c>
      <c r="Z23" s="4">
        <v>279.41703120000005</v>
      </c>
      <c r="AA23" s="4">
        <v>22.199120399999998</v>
      </c>
      <c r="AB23" s="4">
        <v>415.253424</v>
      </c>
      <c r="AC23" s="4">
        <v>43.896925799999998</v>
      </c>
      <c r="AD23" s="4">
        <v>65.062155200000007</v>
      </c>
      <c r="AE23" s="4">
        <v>13.3509688</v>
      </c>
    </row>
    <row r="24" spans="1:31" x14ac:dyDescent="0.3">
      <c r="J24" s="1" t="s">
        <v>34</v>
      </c>
      <c r="K24" s="4">
        <v>499.17783679999997</v>
      </c>
      <c r="L24" s="4">
        <v>58.466905599999997</v>
      </c>
      <c r="M24" s="4">
        <v>5701.1106214676802</v>
      </c>
      <c r="N24" s="4">
        <v>1418.4167027816</v>
      </c>
      <c r="O24" s="4">
        <v>495.49841279999998</v>
      </c>
      <c r="P24" s="4">
        <v>793.46921759999998</v>
      </c>
      <c r="Q24" s="4">
        <v>3434.9912776000001</v>
      </c>
      <c r="R24" s="4">
        <v>788.25378319999993</v>
      </c>
      <c r="S24" s="4">
        <v>1753.1283898479999</v>
      </c>
      <c r="T24" s="4">
        <v>1067.7680352</v>
      </c>
      <c r="U24" s="4">
        <v>811.32628</v>
      </c>
      <c r="V24" s="4">
        <v>3676.6042498297597</v>
      </c>
      <c r="W24" s="4">
        <v>296.310564</v>
      </c>
      <c r="X24" s="4">
        <v>1204.1392664</v>
      </c>
      <c r="Y24" s="4">
        <v>1049.5628368</v>
      </c>
      <c r="Z24" s="4">
        <v>2861.0417751027203</v>
      </c>
      <c r="AA24" s="4">
        <v>78.664204132319995</v>
      </c>
      <c r="AB24" s="4">
        <v>873.04808361840003</v>
      </c>
      <c r="AC24" s="4">
        <v>302.97963175199999</v>
      </c>
      <c r="AD24" s="4">
        <v>190.31074617023998</v>
      </c>
      <c r="AE24" s="4">
        <v>99.097496097280001</v>
      </c>
    </row>
    <row r="25" spans="1:31" x14ac:dyDescent="0.3">
      <c r="J25" s="1" t="s">
        <v>35</v>
      </c>
      <c r="K25" s="4">
        <v>43.241640599999997</v>
      </c>
      <c r="L25" s="4">
        <v>2.4389495999999999</v>
      </c>
      <c r="M25" s="4">
        <v>8252.4965577213297</v>
      </c>
      <c r="N25" s="4">
        <v>457.82719094310005</v>
      </c>
      <c r="O25" s="4">
        <v>383.0196345</v>
      </c>
      <c r="P25" s="4">
        <v>538.97934869999995</v>
      </c>
      <c r="Q25" s="4">
        <v>341.9968824</v>
      </c>
      <c r="R25" s="4">
        <v>126.8729007</v>
      </c>
      <c r="S25" s="4">
        <v>592.06551268001999</v>
      </c>
      <c r="T25" s="4">
        <v>1097.5441352999999</v>
      </c>
      <c r="U25" s="4">
        <v>92.228996099999989</v>
      </c>
      <c r="V25" s="4">
        <v>2747.7001620122401</v>
      </c>
      <c r="W25" s="4">
        <v>610.53283679999993</v>
      </c>
      <c r="X25" s="4">
        <v>663.33580319999999</v>
      </c>
      <c r="Y25" s="4">
        <v>524.06417759999999</v>
      </c>
      <c r="Z25" s="4">
        <v>630.60424330367994</v>
      </c>
      <c r="AA25" s="4">
        <v>2100.8415698786698</v>
      </c>
      <c r="AB25" s="4">
        <v>281.79670395689999</v>
      </c>
      <c r="AC25" s="4">
        <v>249.95039941998002</v>
      </c>
      <c r="AD25" s="4">
        <v>771.16236568776003</v>
      </c>
      <c r="AE25" s="4">
        <v>51.076321096320001</v>
      </c>
    </row>
    <row r="26" spans="1:31" x14ac:dyDescent="0.3">
      <c r="J26" s="1" t="s">
        <v>36</v>
      </c>
      <c r="K26" s="4">
        <v>883.60377000000005</v>
      </c>
      <c r="L26" s="4">
        <v>21.664802999999999</v>
      </c>
      <c r="M26" s="4">
        <v>26569.397999312099</v>
      </c>
      <c r="N26" s="4">
        <v>2722.8419119380001</v>
      </c>
      <c r="O26" s="4">
        <v>458.77962600000001</v>
      </c>
      <c r="P26" s="4">
        <v>3150.3998459999998</v>
      </c>
      <c r="Q26" s="4">
        <v>1095.7590479999999</v>
      </c>
      <c r="R26" s="4">
        <v>5201.0911980000001</v>
      </c>
      <c r="S26" s="4">
        <v>3100.7593629342</v>
      </c>
      <c r="T26" s="4">
        <v>360.53610900000001</v>
      </c>
      <c r="U26" s="4">
        <v>234.87506999999999</v>
      </c>
      <c r="V26" s="4">
        <v>1983.1027994963999</v>
      </c>
      <c r="W26" s="4">
        <v>634.34899800000005</v>
      </c>
      <c r="X26" s="4">
        <v>740.15307900000005</v>
      </c>
      <c r="Y26" s="4">
        <v>4368.9586229999995</v>
      </c>
      <c r="Z26" s="4">
        <v>1895.3564641943999</v>
      </c>
      <c r="AA26" s="4">
        <v>408.92929868790003</v>
      </c>
      <c r="AB26" s="4">
        <v>1675.9333900619999</v>
      </c>
      <c r="AC26" s="4">
        <v>182.7801710658</v>
      </c>
      <c r="AD26" s="4">
        <v>170.3061525036</v>
      </c>
      <c r="AE26" s="4">
        <v>28.0728868056</v>
      </c>
    </row>
    <row r="27" spans="1:31" x14ac:dyDescent="0.3">
      <c r="J27" s="1" t="s">
        <v>37</v>
      </c>
      <c r="K27" s="4">
        <v>23.316993</v>
      </c>
      <c r="L27" s="4">
        <v>4.1804154000000002</v>
      </c>
      <c r="M27" s="4">
        <v>1522.8338356728</v>
      </c>
      <c r="N27" s="4">
        <v>573.95729224260003</v>
      </c>
      <c r="O27" s="4">
        <v>141.09403140000001</v>
      </c>
      <c r="P27" s="4">
        <v>121.2628158</v>
      </c>
      <c r="Q27" s="4">
        <v>412.73991360000002</v>
      </c>
      <c r="R27" s="4">
        <v>125.5346064</v>
      </c>
      <c r="S27" s="4">
        <v>3242.6283247343999</v>
      </c>
      <c r="T27" s="4">
        <v>2815.3407744000001</v>
      </c>
      <c r="U27" s="4">
        <v>190.8874548</v>
      </c>
      <c r="V27" s="4">
        <v>4329.6607772812795</v>
      </c>
      <c r="W27" s="4">
        <v>938.45407320000004</v>
      </c>
      <c r="X27" s="4">
        <v>724.23563939999997</v>
      </c>
      <c r="Y27" s="4">
        <v>203.67858420000002</v>
      </c>
      <c r="Z27" s="4">
        <v>384.15661947936002</v>
      </c>
      <c r="AA27" s="4">
        <v>32.025215527200004</v>
      </c>
      <c r="AB27" s="4">
        <v>353.27581315740002</v>
      </c>
      <c r="AC27" s="4">
        <v>1487.1091366655999</v>
      </c>
      <c r="AD27" s="4">
        <v>203.62886191872002</v>
      </c>
      <c r="AE27" s="4">
        <v>33.041098520639999</v>
      </c>
    </row>
    <row r="28" spans="1:31" x14ac:dyDescent="0.3">
      <c r="J28" s="1" t="s">
        <v>38</v>
      </c>
      <c r="K28" s="4">
        <v>33.725415999999996</v>
      </c>
      <c r="L28" s="4">
        <v>18.549971599999999</v>
      </c>
      <c r="M28" s="4">
        <v>7989.1129993408795</v>
      </c>
      <c r="N28" s="4">
        <v>196.6611985184</v>
      </c>
      <c r="O28" s="4">
        <v>459.00320959999999</v>
      </c>
      <c r="P28" s="4">
        <v>8624.0222283999992</v>
      </c>
      <c r="Q28" s="4">
        <v>149.0798408</v>
      </c>
      <c r="R28" s="4">
        <v>176.3068844</v>
      </c>
      <c r="S28" s="4">
        <v>641.07205054680003</v>
      </c>
      <c r="T28" s="4">
        <v>112.7830728</v>
      </c>
      <c r="U28" s="4">
        <v>139.3429548</v>
      </c>
      <c r="V28" s="4">
        <v>1584.6790741351999</v>
      </c>
      <c r="W28" s="4">
        <v>436.42346279999998</v>
      </c>
      <c r="X28" s="4">
        <v>246.0590268</v>
      </c>
      <c r="Y28" s="4">
        <v>184.65583600000002</v>
      </c>
      <c r="Z28" s="4">
        <v>37.192913360320006</v>
      </c>
      <c r="AA28" s="4">
        <v>181.95912105911998</v>
      </c>
      <c r="AB28" s="4">
        <v>121.04671508160001</v>
      </c>
      <c r="AC28" s="4">
        <v>153.80631985319999</v>
      </c>
      <c r="AD28" s="4">
        <v>693.34569826480003</v>
      </c>
      <c r="AE28" s="4">
        <v>2.3304546396800001</v>
      </c>
    </row>
    <row r="29" spans="1:31" x14ac:dyDescent="0.3">
      <c r="J29" s="1" t="s">
        <v>39</v>
      </c>
      <c r="K29" s="4">
        <v>28.187163200000001</v>
      </c>
      <c r="L29" s="4">
        <v>2.9080944</v>
      </c>
      <c r="M29" s="4">
        <v>853.99163773231999</v>
      </c>
      <c r="N29" s="4">
        <v>262.88571821840003</v>
      </c>
      <c r="O29" s="4">
        <v>52.638587200000003</v>
      </c>
      <c r="P29" s="4">
        <v>89.177782399999998</v>
      </c>
      <c r="Q29" s="4">
        <v>255.39172239999999</v>
      </c>
      <c r="R29" s="4">
        <v>114.6902168</v>
      </c>
      <c r="S29" s="4">
        <v>98.090543752000002</v>
      </c>
      <c r="T29" s="4">
        <v>474.07796480000002</v>
      </c>
      <c r="U29" s="4">
        <v>65.096720000000005</v>
      </c>
      <c r="V29" s="4">
        <v>647.05263737023995</v>
      </c>
      <c r="W29" s="4">
        <v>132.69243599999999</v>
      </c>
      <c r="X29" s="4">
        <v>497.82173359999996</v>
      </c>
      <c r="Y29" s="4">
        <v>94.323163199999996</v>
      </c>
      <c r="Z29" s="4">
        <v>121.73301449728001</v>
      </c>
      <c r="AA29" s="4">
        <v>5.9445366676799987</v>
      </c>
      <c r="AB29" s="4">
        <v>161.80849538159998</v>
      </c>
      <c r="AC29" s="4">
        <v>26.890434647999999</v>
      </c>
      <c r="AD29" s="4">
        <v>49.600366629759996</v>
      </c>
      <c r="AE29" s="4">
        <v>19.118714302720001</v>
      </c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51</v>
      </c>
      <c r="B31" s="39">
        <f t="array" ref="B31:F35">MMULT(K31:AE35,B2:F22)</f>
        <v>4480.1019999999999</v>
      </c>
      <c r="C31" s="39">
        <v>149889.10912189999</v>
      </c>
      <c r="D31" s="39">
        <v>38361.122000000003</v>
      </c>
      <c r="E31" s="39">
        <v>11648.173858999997</v>
      </c>
      <c r="F31" s="39">
        <v>177.22101910000001</v>
      </c>
      <c r="G31" s="11">
        <f>SUM(B31:F31)</f>
        <v>204555.728</v>
      </c>
      <c r="K31" s="11">
        <f t="array" ref="K31:AE35">MMULT(L2:AF6,K9:AE29)</f>
        <v>4473.6030000000001</v>
      </c>
      <c r="L31" s="11">
        <v>6.4990000000000006</v>
      </c>
      <c r="M31" s="11">
        <v>149889.10912189999</v>
      </c>
      <c r="N31" s="11">
        <v>49.076796000000002</v>
      </c>
      <c r="O31" s="11">
        <v>37686.978000000003</v>
      </c>
      <c r="P31" s="11">
        <v>674.14400000000001</v>
      </c>
      <c r="Q31" s="11">
        <v>21.111999999999998</v>
      </c>
      <c r="R31" s="11">
        <v>9458.6359999999986</v>
      </c>
      <c r="S31" s="11">
        <v>19.204805</v>
      </c>
      <c r="T31" s="11">
        <v>36.036000000000001</v>
      </c>
      <c r="U31" s="11">
        <v>8.8530000000000015</v>
      </c>
      <c r="V31" s="11">
        <v>305.00754760000001</v>
      </c>
      <c r="W31" s="11">
        <v>296.34199999999998</v>
      </c>
      <c r="X31" s="11">
        <v>90.015000000000001</v>
      </c>
      <c r="Y31" s="11">
        <v>1158.6510000000001</v>
      </c>
      <c r="Z31" s="11">
        <v>205.23971040000001</v>
      </c>
      <c r="AA31" s="11">
        <v>2.0258780999999999</v>
      </c>
      <c r="AB31" s="11">
        <v>30.207204000000001</v>
      </c>
      <c r="AC31" s="11">
        <v>3.135195</v>
      </c>
      <c r="AD31" s="11">
        <v>136.6544524</v>
      </c>
      <c r="AE31" s="11">
        <v>5.1982895999999998</v>
      </c>
    </row>
    <row r="32" spans="1:31" x14ac:dyDescent="0.3">
      <c r="A32" t="s">
        <v>52</v>
      </c>
      <c r="B32" s="39">
        <v>18407.318409800002</v>
      </c>
      <c r="C32" s="39">
        <v>839233.6035804787</v>
      </c>
      <c r="D32" s="39">
        <v>116959.21401679999</v>
      </c>
      <c r="E32" s="39">
        <v>245243.46707476099</v>
      </c>
      <c r="F32" s="39">
        <v>22651.230585960369</v>
      </c>
      <c r="G32" s="11">
        <f t="shared" ref="G32:G35" si="0">SUM(B32:F32)</f>
        <v>1242494.8336678001</v>
      </c>
      <c r="K32" s="11">
        <v>17747.875359400001</v>
      </c>
      <c r="L32" s="11">
        <v>659.44305039999995</v>
      </c>
      <c r="M32" s="11">
        <v>839233.6035804787</v>
      </c>
      <c r="N32" s="11">
        <v>12865.232927056899</v>
      </c>
      <c r="O32" s="11">
        <v>13861.0813655</v>
      </c>
      <c r="P32" s="11">
        <v>103098.13265129999</v>
      </c>
      <c r="Q32" s="11">
        <v>41947.463117600004</v>
      </c>
      <c r="R32" s="11">
        <v>58596.154099299994</v>
      </c>
      <c r="S32" s="11">
        <v>8200.9914303199803</v>
      </c>
      <c r="T32" s="11">
        <v>4030.4418646999998</v>
      </c>
      <c r="U32" s="11">
        <v>3766.4950039</v>
      </c>
      <c r="V32" s="11">
        <v>33513.140411987762</v>
      </c>
      <c r="W32" s="11">
        <v>9881.3841632000003</v>
      </c>
      <c r="X32" s="11">
        <v>7971.0091967999997</v>
      </c>
      <c r="Y32" s="11">
        <v>39895.570822400005</v>
      </c>
      <c r="Z32" s="11">
        <v>24575.584037496323</v>
      </c>
      <c r="AA32" s="11">
        <v>9481.8572919213293</v>
      </c>
      <c r="AB32" s="11">
        <v>7918.6651780430993</v>
      </c>
      <c r="AC32" s="11">
        <v>2532.2076575800197</v>
      </c>
      <c r="AD32" s="11">
        <v>2417.9420603122398</v>
      </c>
      <c r="AE32" s="11">
        <v>300.55839810368002</v>
      </c>
    </row>
    <row r="33" spans="1:31" x14ac:dyDescent="0.3">
      <c r="A33" t="s">
        <v>53</v>
      </c>
      <c r="B33" s="39">
        <v>1122.412</v>
      </c>
      <c r="C33" s="39">
        <v>39206.0650504</v>
      </c>
      <c r="D33" s="39">
        <v>17862.177</v>
      </c>
      <c r="E33" s="39">
        <v>50176.249977399995</v>
      </c>
      <c r="F33" s="39">
        <v>2692.1829722000002</v>
      </c>
      <c r="G33" s="11">
        <f t="shared" si="0"/>
        <v>111059.08699999998</v>
      </c>
      <c r="K33" s="11">
        <v>997.17399999999998</v>
      </c>
      <c r="L33" s="11">
        <v>125.238</v>
      </c>
      <c r="M33" s="11">
        <v>39206.0650504</v>
      </c>
      <c r="N33" s="11">
        <v>2589.065302</v>
      </c>
      <c r="O33" s="11">
        <v>16722.123</v>
      </c>
      <c r="P33" s="11">
        <v>1140.0540000000001</v>
      </c>
      <c r="Q33" s="11">
        <v>2830.5129999999999</v>
      </c>
      <c r="R33" s="11">
        <v>5493.9539999999997</v>
      </c>
      <c r="S33" s="11">
        <v>1493.8376929999999</v>
      </c>
      <c r="T33" s="11">
        <v>1526.684</v>
      </c>
      <c r="U33" s="11">
        <v>12265.814999999999</v>
      </c>
      <c r="V33" s="11">
        <v>8996.7958256000002</v>
      </c>
      <c r="W33" s="11">
        <v>2689.61</v>
      </c>
      <c r="X33" s="11">
        <v>4146.6179999999995</v>
      </c>
      <c r="Y33" s="11">
        <v>5266.0030000000006</v>
      </c>
      <c r="Z33" s="11">
        <v>2877.3541568000001</v>
      </c>
      <c r="AA33" s="11">
        <v>207.1469496</v>
      </c>
      <c r="AB33" s="11">
        <v>1593.5926980000002</v>
      </c>
      <c r="AC33" s="11">
        <v>194.16530699999998</v>
      </c>
      <c r="AD33" s="11">
        <v>647.50217439999994</v>
      </c>
      <c r="AE33" s="11">
        <v>49.775843199999997</v>
      </c>
    </row>
    <row r="34" spans="1:31" x14ac:dyDescent="0.3">
      <c r="A34" t="s">
        <v>54</v>
      </c>
      <c r="B34" s="39">
        <v>8002.0193733999986</v>
      </c>
      <c r="C34" s="39">
        <v>198426.03381934186</v>
      </c>
      <c r="D34" s="39">
        <v>47780.233873200013</v>
      </c>
      <c r="E34" s="39">
        <v>476074.15059410076</v>
      </c>
      <c r="F34" s="39">
        <v>56238.525324157374</v>
      </c>
      <c r="G34" s="11">
        <f t="shared" si="0"/>
        <v>786520.96298419998</v>
      </c>
      <c r="K34" s="11">
        <v>6580.5076577999989</v>
      </c>
      <c r="L34" s="11">
        <v>1421.5117156000001</v>
      </c>
      <c r="M34" s="11">
        <v>198426.03381934186</v>
      </c>
      <c r="N34" s="11">
        <v>62904.449731082605</v>
      </c>
      <c r="O34" s="11">
        <v>11572.604545800003</v>
      </c>
      <c r="P34" s="11">
        <v>36207.629327400013</v>
      </c>
      <c r="Q34" s="11">
        <v>51749.129475200003</v>
      </c>
      <c r="R34" s="11">
        <v>33416.733094399999</v>
      </c>
      <c r="S34" s="11">
        <v>38259.893751032607</v>
      </c>
      <c r="T34" s="11">
        <v>65425.347078999999</v>
      </c>
      <c r="U34" s="11">
        <v>44572.285800400001</v>
      </c>
      <c r="V34" s="11">
        <v>82058.40905931688</v>
      </c>
      <c r="W34" s="11">
        <v>21951.205030000001</v>
      </c>
      <c r="X34" s="11">
        <v>22469.3595212</v>
      </c>
      <c r="Y34" s="11">
        <v>26682.459793600003</v>
      </c>
      <c r="Z34" s="11">
        <v>26584.878258868637</v>
      </c>
      <c r="AA34" s="11">
        <v>2629.6735366580997</v>
      </c>
      <c r="AB34" s="11">
        <v>38718.247734317396</v>
      </c>
      <c r="AC34" s="11">
        <v>7417.8359047674003</v>
      </c>
      <c r="AD34" s="11">
        <v>5726.3855730831192</v>
      </c>
      <c r="AE34" s="11">
        <v>1746.3825753313599</v>
      </c>
    </row>
    <row r="35" spans="1:31" x14ac:dyDescent="0.3">
      <c r="A35" t="s">
        <v>55</v>
      </c>
      <c r="B35" s="39">
        <v>1061.8172168000001</v>
      </c>
      <c r="C35" s="39">
        <v>45187.833029779424</v>
      </c>
      <c r="D35" s="39">
        <v>14018.377109999999</v>
      </c>
      <c r="E35" s="39">
        <v>50831.941749938313</v>
      </c>
      <c r="F35" s="39">
        <v>9445.780241482249</v>
      </c>
      <c r="G35" s="11">
        <f t="shared" si="0"/>
        <v>120545.74934799998</v>
      </c>
      <c r="K35" s="11">
        <v>1012.0749828</v>
      </c>
      <c r="L35" s="11">
        <v>49.742234000000003</v>
      </c>
      <c r="M35" s="11">
        <v>45187.833029779424</v>
      </c>
      <c r="N35" s="11">
        <v>4214.1733118604998</v>
      </c>
      <c r="O35" s="11">
        <v>1494.5350887</v>
      </c>
      <c r="P35" s="11">
        <v>12523.842021299999</v>
      </c>
      <c r="Q35" s="11">
        <v>2254.9674072000003</v>
      </c>
      <c r="R35" s="11">
        <v>5744.4958062999995</v>
      </c>
      <c r="S35" s="11">
        <v>7674.6157946474195</v>
      </c>
      <c r="T35" s="11">
        <v>4860.2820562999996</v>
      </c>
      <c r="U35" s="11">
        <v>722.43119569999999</v>
      </c>
      <c r="V35" s="11">
        <v>11292.195450295359</v>
      </c>
      <c r="W35" s="11">
        <v>2752.4518067999998</v>
      </c>
      <c r="X35" s="11">
        <v>2871.605282</v>
      </c>
      <c r="Y35" s="11">
        <v>5375.6803839999993</v>
      </c>
      <c r="Z35" s="11">
        <v>3069.04325483504</v>
      </c>
      <c r="AA35" s="11">
        <v>2729.6997418205701</v>
      </c>
      <c r="AB35" s="11">
        <v>2593.8611176394998</v>
      </c>
      <c r="AC35" s="11">
        <v>2100.5364616525799</v>
      </c>
      <c r="AD35" s="11">
        <v>1888.0434450046403</v>
      </c>
      <c r="AE35" s="11">
        <v>133.63947536495999</v>
      </c>
    </row>
    <row r="36" spans="1:31" x14ac:dyDescent="0.3">
      <c r="B36" s="11">
        <f>SUM(B31:B35)</f>
        <v>33073.669000000002</v>
      </c>
      <c r="C36" s="11">
        <f t="shared" ref="C36:F36" si="1">SUM(C31:C35)</f>
        <v>1271942.6446018999</v>
      </c>
      <c r="D36" s="11">
        <f t="shared" si="1"/>
        <v>234981.12400000001</v>
      </c>
      <c r="E36" s="11">
        <f t="shared" si="1"/>
        <v>833973.98325520009</v>
      </c>
      <c r="F36" s="11">
        <f t="shared" si="1"/>
        <v>91204.940142899999</v>
      </c>
      <c r="G36" s="14">
        <f>SUM(G31:G35)</f>
        <v>2465176.361</v>
      </c>
      <c r="H36" s="14">
        <f>SUM(B36:F36)</f>
        <v>2465176.361</v>
      </c>
    </row>
    <row r="37" spans="1:31" x14ac:dyDescent="0.3">
      <c r="A37" t="s">
        <v>56</v>
      </c>
    </row>
    <row r="39" spans="1:31" x14ac:dyDescent="0.3">
      <c r="J39" s="1" t="s">
        <v>19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3">
      <c r="J40" s="1" t="s">
        <v>20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3">
      <c r="J41" s="1" t="s">
        <v>21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3">
      <c r="J42" s="1" t="s">
        <v>22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3">
      <c r="J43" s="1" t="s">
        <v>23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3">
      <c r="J44" s="1" t="s">
        <v>24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3">
      <c r="J45" s="1" t="s">
        <v>25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">
      <c r="J46" s="1" t="s">
        <v>26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">
      <c r="J47" s="1" t="s">
        <v>27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">
      <c r="J48" s="1" t="s">
        <v>28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0:31" x14ac:dyDescent="0.3">
      <c r="J49" s="1" t="s">
        <v>29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0:31" x14ac:dyDescent="0.3">
      <c r="J50" s="1" t="s">
        <v>30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0:31" x14ac:dyDescent="0.3">
      <c r="J51" s="1" t="s">
        <v>31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0:31" x14ac:dyDescent="0.3">
      <c r="J52" s="1" t="s">
        <v>32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0:31" x14ac:dyDescent="0.3">
      <c r="J53" s="1" t="s">
        <v>33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0:31" x14ac:dyDescent="0.3">
      <c r="J54" s="1" t="s">
        <v>34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0:31" x14ac:dyDescent="0.3">
      <c r="J55" s="1" t="s">
        <v>35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0:31" x14ac:dyDescent="0.3">
      <c r="J56" s="1" t="s">
        <v>36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0:31" x14ac:dyDescent="0.3">
      <c r="J57" s="1" t="s">
        <v>37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0:31" x14ac:dyDescent="0.3">
      <c r="J58" s="1" t="s">
        <v>38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0:31" x14ac:dyDescent="0.3">
      <c r="J59" s="1" t="s">
        <v>39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opLeftCell="A22" workbookViewId="0">
      <selection activeCell="B28" sqref="B28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12.44140625" bestFit="1" customWidth="1"/>
    <col min="8" max="8" width="9.5546875" bestFit="1" customWidth="1"/>
    <col min="11" max="11" width="12.4414062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9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384.49400000000003</v>
      </c>
      <c r="K2" s="1" t="s">
        <v>3</v>
      </c>
      <c r="L2" s="4">
        <v>6547.0230000000001</v>
      </c>
      <c r="M2" s="4">
        <v>865.25400000000002</v>
      </c>
      <c r="N2" s="4">
        <v>192748.72173059999</v>
      </c>
      <c r="O2" s="4">
        <v>49979.141392999998</v>
      </c>
      <c r="P2" s="4">
        <v>12814.433000000001</v>
      </c>
      <c r="Q2" s="4">
        <v>86514.203999999998</v>
      </c>
      <c r="R2" s="4">
        <v>32944.266000000003</v>
      </c>
      <c r="S2" s="4">
        <v>34557.43</v>
      </c>
      <c r="T2" s="4">
        <v>23952.216407</v>
      </c>
      <c r="U2" s="4">
        <v>44478.012999999999</v>
      </c>
      <c r="V2" s="4">
        <v>16034.514999999999</v>
      </c>
      <c r="W2" s="4">
        <v>107585.29276160001</v>
      </c>
      <c r="X2" s="4">
        <v>76987.937000000005</v>
      </c>
      <c r="Y2" s="4">
        <v>78542.589000000007</v>
      </c>
      <c r="Z2" s="4">
        <v>64861.093999999997</v>
      </c>
      <c r="AA2" s="4">
        <v>27180.7150936</v>
      </c>
      <c r="AB2" s="4">
        <v>3881.3762694000002</v>
      </c>
      <c r="AC2" s="4">
        <v>30762.605607000001</v>
      </c>
      <c r="AD2" s="4">
        <v>10553.842593000001</v>
      </c>
      <c r="AE2" s="4">
        <v>10545.8472384</v>
      </c>
      <c r="AF2" s="4">
        <v>1072.2469063999999</v>
      </c>
      <c r="AG2" s="5">
        <f>SUM(L2:AF2)</f>
        <v>913408.76400000008</v>
      </c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1989.682</v>
      </c>
      <c r="K3" t="s">
        <v>78</v>
      </c>
      <c r="L3" s="4">
        <v>24582.852999999999</v>
      </c>
      <c r="M3" s="4">
        <v>1185.5809999999999</v>
      </c>
      <c r="N3" s="4">
        <v>273674.4123729</v>
      </c>
      <c r="O3" s="4">
        <v>35880.453848000005</v>
      </c>
      <c r="P3" s="4">
        <v>24118.968999999997</v>
      </c>
      <c r="Q3" s="4">
        <v>16010.707</v>
      </c>
      <c r="R3" s="4">
        <v>27171.904000000002</v>
      </c>
      <c r="S3" s="4">
        <v>13954.298999999999</v>
      </c>
      <c r="T3" s="4">
        <v>34616.607305799997</v>
      </c>
      <c r="U3" s="4">
        <v>56970.512999999999</v>
      </c>
      <c r="V3" s="4">
        <v>119791.432</v>
      </c>
      <c r="W3" s="4">
        <v>52901.981525199997</v>
      </c>
      <c r="X3" s="4">
        <v>44826.656999999999</v>
      </c>
      <c r="Y3" s="4">
        <v>13838.985000000001</v>
      </c>
      <c r="Z3" s="4">
        <v>23973.508999999998</v>
      </c>
      <c r="AA3" s="4">
        <v>16533.329951199998</v>
      </c>
      <c r="AB3" s="4">
        <v>3704.7476271</v>
      </c>
      <c r="AC3" s="4">
        <v>22084.738151999998</v>
      </c>
      <c r="AD3" s="4">
        <v>13140.2856942</v>
      </c>
      <c r="AE3" s="4">
        <v>7041.4374747999991</v>
      </c>
      <c r="AF3" s="4">
        <v>669.60904879999998</v>
      </c>
      <c r="AG3" s="5">
        <f>SUM(L3:AF3)</f>
        <v>826673.01199999987</v>
      </c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163215.9600017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9516.1853579999988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0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260546.71799999999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683.36199999999997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19334.0520894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31020.904999999999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78578.603039599999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674.22500000000002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1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1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1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1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A25" t="s">
        <v>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s="12" t="s">
        <v>81</v>
      </c>
      <c r="B26" s="23">
        <f>SUM(L3:M3)</f>
        <v>25768.433999999997</v>
      </c>
      <c r="C26" s="24">
        <v>273674</v>
      </c>
      <c r="D26" s="23">
        <f>SUM(P3:Q3)</f>
        <v>40129.675999999999</v>
      </c>
      <c r="E26" s="23">
        <f>SUM(O3,R3:AA3)</f>
        <v>440459.67163020006</v>
      </c>
      <c r="F26" s="23"/>
      <c r="G26" s="5">
        <f>SUM(B26:F26)</f>
        <v>780031.7816302001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s="21" t="s">
        <v>80</v>
      </c>
      <c r="B27" s="23"/>
      <c r="C27" s="24"/>
      <c r="D27" s="23"/>
      <c r="E27" s="23"/>
      <c r="F27" s="22">
        <v>46641</v>
      </c>
      <c r="G27" s="5">
        <f>SUM(B27:F27)</f>
        <v>46641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s="12" t="s">
        <v>191</v>
      </c>
      <c r="B28" s="23">
        <f>SUM(G2:G3)</f>
        <v>2374.1759999999999</v>
      </c>
      <c r="C28" s="23">
        <f>SUM(G4)</f>
        <v>163215.9600017</v>
      </c>
      <c r="D28" s="23">
        <f>SUM(G6:G7)</f>
        <v>260546.71799999999</v>
      </c>
      <c r="E28" s="23">
        <f>SUM(G5,G8:G17)</f>
        <v>139807.33248700001</v>
      </c>
      <c r="F28" s="21">
        <f>SUM(G18:G22)</f>
        <v>0</v>
      </c>
      <c r="G28" s="5">
        <f>SUM(G26:G27)</f>
        <v>826672.7816302001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46</v>
      </c>
      <c r="C30" t="s">
        <v>47</v>
      </c>
      <c r="D30" t="s">
        <v>48</v>
      </c>
      <c r="E30" t="s">
        <v>49</v>
      </c>
      <c r="F30" t="s">
        <v>50</v>
      </c>
    </row>
    <row r="31" spans="1:31" x14ac:dyDescent="0.3">
      <c r="A31" t="s">
        <v>3</v>
      </c>
      <c r="B31" s="5">
        <f>SUM(L2:M2)</f>
        <v>7412.277</v>
      </c>
      <c r="C31" s="4">
        <v>192748.72173059999</v>
      </c>
      <c r="D31" s="5">
        <f>SUM(P2:Q2)</f>
        <v>99328.637000000002</v>
      </c>
      <c r="E31" s="5">
        <f>SUM(O2,R2:AA2)</f>
        <v>557103.20965520001</v>
      </c>
      <c r="F31" s="5">
        <f>SUM(AB2:AF2)</f>
        <v>56815.918614200004</v>
      </c>
    </row>
    <row r="32" spans="1:31" x14ac:dyDescent="0.3">
      <c r="A32" t="s">
        <v>58</v>
      </c>
      <c r="B32">
        <v>0.82899999999999996</v>
      </c>
      <c r="C32">
        <v>0.60399999999999998</v>
      </c>
      <c r="D32">
        <v>0.49399999999999999</v>
      </c>
      <c r="E32">
        <v>0.497</v>
      </c>
      <c r="F32">
        <v>0.55100000000000005</v>
      </c>
    </row>
    <row r="33" spans="1:17" x14ac:dyDescent="0.3">
      <c r="A33" t="s">
        <v>57</v>
      </c>
      <c r="B33">
        <v>0.73499999999999999</v>
      </c>
      <c r="C33">
        <v>0.39600000000000002</v>
      </c>
      <c r="D33">
        <v>0.50600000000000001</v>
      </c>
      <c r="E33">
        <v>0.503</v>
      </c>
      <c r="F33">
        <v>0.44900000000000001</v>
      </c>
      <c r="M33" t="s">
        <v>68</v>
      </c>
      <c r="Q33" t="s">
        <v>68</v>
      </c>
    </row>
    <row r="34" spans="1:17" x14ac:dyDescent="0.3">
      <c r="A34" s="12" t="s">
        <v>59</v>
      </c>
      <c r="B34" s="13">
        <f>B31*B32</f>
        <v>6144.7776329999997</v>
      </c>
      <c r="C34" s="13">
        <f t="shared" ref="C34:F34" si="0">C31*C32</f>
        <v>116420.22792528239</v>
      </c>
      <c r="D34" s="13">
        <f t="shared" si="0"/>
        <v>49068.346678000002</v>
      </c>
      <c r="E34" s="13">
        <f t="shared" si="0"/>
        <v>276880.29519863438</v>
      </c>
      <c r="F34" s="13">
        <f t="shared" si="0"/>
        <v>31305.571156424205</v>
      </c>
      <c r="G34" s="15">
        <f>SUM(B34:F34)</f>
        <v>479819.21859134099</v>
      </c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 t="s">
        <v>60</v>
      </c>
      <c r="B35" s="13">
        <f>B31*B33</f>
        <v>5448.0235949999997</v>
      </c>
      <c r="C35" s="13">
        <f t="shared" ref="C35:F35" si="1">C31*C33</f>
        <v>76328.493805317601</v>
      </c>
      <c r="D35" s="13">
        <f t="shared" si="1"/>
        <v>50260.290322000001</v>
      </c>
      <c r="E35" s="13">
        <f t="shared" si="1"/>
        <v>280222.91445656563</v>
      </c>
      <c r="F35" s="13">
        <f t="shared" si="1"/>
        <v>25510.347457775802</v>
      </c>
      <c r="G35" s="15">
        <f>SUM(B35:F35)</f>
        <v>437770.06963665906</v>
      </c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2">SUM(N36:O36)</f>
        <v>701</v>
      </c>
      <c r="Q36" s="10">
        <f>P36/P40*100</f>
        <v>8.9401862007397011</v>
      </c>
    </row>
    <row r="37" spans="1:17" x14ac:dyDescent="0.3">
      <c r="A37" t="s">
        <v>56</v>
      </c>
      <c r="G37" s="16">
        <f>SUM(G34:G36)</f>
        <v>917589.28822800005</v>
      </c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2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2"/>
        <v>1833</v>
      </c>
      <c r="Q38" s="10">
        <f>P38/P40*100</f>
        <v>23.377120265272286</v>
      </c>
    </row>
    <row r="39" spans="1:17" x14ac:dyDescent="0.3">
      <c r="B39" s="12" t="s">
        <v>59</v>
      </c>
      <c r="C39" s="12" t="s">
        <v>60</v>
      </c>
      <c r="D39" s="12" t="s">
        <v>79</v>
      </c>
      <c r="E39" s="21" t="s">
        <v>82</v>
      </c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2"/>
        <v>3832</v>
      </c>
      <c r="Q39" s="10">
        <f>P39/P40*100</f>
        <v>48.871317434000765</v>
      </c>
    </row>
    <row r="40" spans="1:17" x14ac:dyDescent="0.3">
      <c r="A40" t="s">
        <v>61</v>
      </c>
      <c r="B40" s="19">
        <f>B45*M35/100</f>
        <v>7240.4492164828789</v>
      </c>
      <c r="C40" s="19">
        <f>C45*M35/100</f>
        <v>6605.9315147997686</v>
      </c>
      <c r="D40" s="13">
        <f>D45*Q35/100</f>
        <v>6381.5582196148453</v>
      </c>
      <c r="E40" s="13">
        <f>E45*Q35/100</f>
        <v>0</v>
      </c>
      <c r="K40" t="s">
        <v>76</v>
      </c>
      <c r="L40" s="14">
        <f>SUM(L35:L39)</f>
        <v>18953</v>
      </c>
      <c r="M40" s="18"/>
      <c r="N40" s="14">
        <f t="shared" ref="N40:O40" si="3">SUM(N35:N39)</f>
        <v>5755</v>
      </c>
      <c r="O40" s="14">
        <f t="shared" si="3"/>
        <v>2086</v>
      </c>
      <c r="P40" s="14">
        <f t="shared" si="2"/>
        <v>7841</v>
      </c>
    </row>
    <row r="41" spans="1:17" x14ac:dyDescent="0.3">
      <c r="A41" t="s">
        <v>62</v>
      </c>
      <c r="B41" s="19">
        <f>B45*M36/100</f>
        <v>34911.117026328284</v>
      </c>
      <c r="C41" s="19">
        <f>C45*M36/100</f>
        <v>31851.676779401674</v>
      </c>
      <c r="D41" s="13">
        <f>D45*Q36/100</f>
        <v>23421.321004973855</v>
      </c>
      <c r="E41" s="13">
        <f>E45*Q36/100</f>
        <v>0</v>
      </c>
    </row>
    <row r="42" spans="1:17" x14ac:dyDescent="0.3">
      <c r="A42" t="s">
        <v>63</v>
      </c>
      <c r="B42" s="19">
        <f>B45*M37/100</f>
        <v>70834.884292724106</v>
      </c>
      <c r="C42" s="19">
        <f>C45*M37/100</f>
        <v>64627.260064369759</v>
      </c>
      <c r="D42" s="13">
        <f>D45*Q37/100</f>
        <v>42900.108659609745</v>
      </c>
      <c r="E42" s="13">
        <f>E45*Q37/100</f>
        <v>0</v>
      </c>
    </row>
    <row r="43" spans="1:17" x14ac:dyDescent="0.3">
      <c r="A43" t="s">
        <v>64</v>
      </c>
      <c r="B43" s="19">
        <f>B45*M38/100</f>
        <v>121695.24260011609</v>
      </c>
      <c r="C43" s="19">
        <f>C45*M38/100</f>
        <v>111030.46430644227</v>
      </c>
      <c r="D43" s="13">
        <f>D45*Q38/100</f>
        <v>61242.912128555028</v>
      </c>
      <c r="E43" s="13">
        <f>E45*Q38/100</f>
        <v>0</v>
      </c>
      <c r="K43" t="s">
        <v>77</v>
      </c>
    </row>
    <row r="44" spans="1:17" x14ac:dyDescent="0.3">
      <c r="A44" t="s">
        <v>66</v>
      </c>
      <c r="B44" s="19">
        <f>B45*M39/100</f>
        <v>245137.30686434862</v>
      </c>
      <c r="C44" s="19">
        <f>C45*M39/100</f>
        <v>223654.6673349865</v>
      </c>
      <c r="D44" s="13">
        <f>D45*Q39/100</f>
        <v>128032.09998724652</v>
      </c>
      <c r="E44" s="13">
        <f>E45*Q39/100</f>
        <v>0</v>
      </c>
    </row>
    <row r="45" spans="1:17" x14ac:dyDescent="0.3">
      <c r="A45" t="s">
        <v>67</v>
      </c>
      <c r="B45" s="15">
        <v>479819</v>
      </c>
      <c r="C45" s="20">
        <v>437770</v>
      </c>
      <c r="D45" s="22">
        <v>261978</v>
      </c>
      <c r="E45" s="22">
        <v>0</v>
      </c>
    </row>
    <row r="46" spans="1:17" x14ac:dyDescent="0.3">
      <c r="C46" s="14"/>
    </row>
    <row r="47" spans="1:17" x14ac:dyDescent="0.3">
      <c r="A47" t="s">
        <v>180</v>
      </c>
      <c r="B47" s="19">
        <f>G47*Q35/100</f>
        <v>3485.7195510776683</v>
      </c>
      <c r="C47" s="19">
        <f>G47*Q36/100</f>
        <v>12793.13824767249</v>
      </c>
      <c r="D47" s="19">
        <f>G47*Q37/100</f>
        <v>23432.795306721076</v>
      </c>
      <c r="E47" s="19">
        <f>G47*Q38/100</f>
        <v>33451.957785996681</v>
      </c>
      <c r="F47" s="19">
        <f>G47*Q39/100</f>
        <v>69933.389108532065</v>
      </c>
      <c r="G47" s="44">
        <v>143097</v>
      </c>
      <c r="H47" s="14"/>
      <c r="I47" t="s">
        <v>181</v>
      </c>
    </row>
    <row r="48" spans="1:17" x14ac:dyDescent="0.3">
      <c r="B48" s="19"/>
    </row>
    <row r="49" spans="1:7" x14ac:dyDescent="0.3">
      <c r="A49" t="s">
        <v>212</v>
      </c>
      <c r="B49" s="19">
        <f>G49*M35/100</f>
        <v>1454.0081253627393</v>
      </c>
      <c r="C49" s="19">
        <f>G49*M36/100</f>
        <v>7010.7594576056554</v>
      </c>
      <c r="D49" s="19">
        <f>G49*M37/100</f>
        <v>14224.876694982324</v>
      </c>
      <c r="E49" s="19">
        <f>G49*M38/100</f>
        <v>24438.521183981429</v>
      </c>
      <c r="F49" s="19">
        <f>G49*M39/100</f>
        <v>49227.834538067851</v>
      </c>
      <c r="G49" s="44">
        <v>96356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workbookViewId="0">
      <selection activeCell="I26" sqref="I26"/>
    </sheetView>
  </sheetViews>
  <sheetFormatPr defaultRowHeight="17.25" x14ac:dyDescent="0.3"/>
  <cols>
    <col min="1" max="1" width="32.88671875" bestFit="1" customWidth="1"/>
    <col min="2" max="3" width="13.33203125" bestFit="1" customWidth="1"/>
    <col min="4" max="4" width="12.21875" bestFit="1" customWidth="1"/>
    <col min="5" max="5" width="13.33203125" bestFit="1" customWidth="1"/>
    <col min="6" max="6" width="12.6640625" bestFit="1" customWidth="1"/>
    <col min="7" max="7" width="9.5546875" bestFit="1" customWidth="1"/>
    <col min="11" max="11" width="32.88671875" bestFit="1" customWidth="1"/>
  </cols>
  <sheetData>
    <row r="1" spans="1:33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L1" t="s">
        <v>83</v>
      </c>
      <c r="M1" t="s">
        <v>182</v>
      </c>
    </row>
    <row r="2" spans="1:33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K2" s="1" t="s">
        <v>19</v>
      </c>
      <c r="L2" s="4">
        <v>17897.539000000001</v>
      </c>
      <c r="M2" s="4">
        <v>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K3" s="1" t="s">
        <v>20</v>
      </c>
      <c r="L3" s="4">
        <v>15.273999999999999</v>
      </c>
      <c r="M3" s="4">
        <v>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K4" s="1" t="s">
        <v>21</v>
      </c>
      <c r="L4" s="4">
        <v>213777.45697209999</v>
      </c>
      <c r="M4" s="4">
        <v>0</v>
      </c>
    </row>
    <row r="5" spans="1:33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K5" s="1" t="s">
        <v>22</v>
      </c>
      <c r="L5" s="4">
        <v>56432.395283999998</v>
      </c>
      <c r="M5" s="4">
        <v>0</v>
      </c>
    </row>
    <row r="6" spans="1:33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K6" s="1" t="s">
        <v>23</v>
      </c>
      <c r="L6" s="4">
        <v>22621.353999999999</v>
      </c>
      <c r="M6" s="4">
        <v>1009.391</v>
      </c>
    </row>
    <row r="7" spans="1:33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K7" s="1" t="s">
        <v>24</v>
      </c>
      <c r="L7" s="4">
        <v>0</v>
      </c>
      <c r="M7" s="4">
        <v>0</v>
      </c>
    </row>
    <row r="8" spans="1:33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K8" s="1" t="s">
        <v>25</v>
      </c>
      <c r="L8" s="4">
        <v>30364.851999999999</v>
      </c>
      <c r="M8" s="4">
        <v>0</v>
      </c>
    </row>
    <row r="9" spans="1:33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K9" s="1" t="s">
        <v>26</v>
      </c>
      <c r="L9" s="4">
        <v>103692.954</v>
      </c>
      <c r="M9" s="4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3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K10" s="1" t="s">
        <v>27</v>
      </c>
      <c r="L10" s="4">
        <v>32987.4141036</v>
      </c>
      <c r="M10" s="4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3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K11" s="1" t="s">
        <v>28</v>
      </c>
      <c r="L11" s="4">
        <v>74115.437999999995</v>
      </c>
      <c r="M11" s="4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3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K12" s="1" t="s">
        <v>29</v>
      </c>
      <c r="L12" s="4">
        <v>131970.416</v>
      </c>
      <c r="M12" s="4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3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K13" s="1" t="s">
        <v>30</v>
      </c>
      <c r="L13" s="4">
        <v>9510.7369512000005</v>
      </c>
      <c r="M13" s="4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3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K14" s="1" t="s">
        <v>31</v>
      </c>
      <c r="L14" s="4">
        <v>2343.1669999999999</v>
      </c>
      <c r="M14" s="4">
        <v>154168.83600000001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3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K15" s="1" t="s">
        <v>32</v>
      </c>
      <c r="L15" s="4">
        <v>59211.775000000001</v>
      </c>
      <c r="M15" s="4">
        <v>70597.013000000006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3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K16" s="1" t="s">
        <v>33</v>
      </c>
      <c r="L16" s="4">
        <v>58562.298000000003</v>
      </c>
      <c r="M16" s="4">
        <v>100693.954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K17" s="1" t="s">
        <v>34</v>
      </c>
      <c r="L17" s="4">
        <v>84307.258000000002</v>
      </c>
      <c r="M17" s="4">
        <v>2193.9859999999999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K18" s="1" t="s">
        <v>35</v>
      </c>
      <c r="L18" s="4">
        <v>755.73002789999998</v>
      </c>
      <c r="M18" s="4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K19" s="1" t="s">
        <v>36</v>
      </c>
      <c r="L19" s="4">
        <v>34734.640716000002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K20" s="1" t="s">
        <v>37</v>
      </c>
      <c r="L20" s="4">
        <v>2325.0428963999998</v>
      </c>
      <c r="M20" s="4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K21" s="1" t="s">
        <v>38</v>
      </c>
      <c r="L21" s="4">
        <v>308.03704879999998</v>
      </c>
      <c r="M21" s="4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K22" s="1" t="s">
        <v>39</v>
      </c>
      <c r="L22" s="4">
        <v>0</v>
      </c>
      <c r="M22" s="4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 t="s">
        <v>86</v>
      </c>
      <c r="L23" s="5">
        <f>SUM(L2:L22)</f>
        <v>935933.77899999998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B25" t="s">
        <v>84</v>
      </c>
      <c r="C25" t="s">
        <v>62</v>
      </c>
      <c r="D25" t="s">
        <v>85</v>
      </c>
      <c r="E25" t="s">
        <v>64</v>
      </c>
      <c r="F25" t="s">
        <v>65</v>
      </c>
      <c r="G25" t="s">
        <v>67</v>
      </c>
      <c r="I25" s="12" t="s">
        <v>182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A26" t="s">
        <v>46</v>
      </c>
      <c r="B26" s="23">
        <f>G26*M35/100</f>
        <v>270.30362042948349</v>
      </c>
      <c r="C26" s="23">
        <f>G26*M36/100</f>
        <v>1303.317106896006</v>
      </c>
      <c r="D26" s="25">
        <f>G26*M37/100</f>
        <v>2644.4389159499819</v>
      </c>
      <c r="E26" s="23">
        <f>G26*M38/100</f>
        <v>4543.1800818340116</v>
      </c>
      <c r="F26" s="23">
        <f>G26*M39/100</f>
        <v>9151.5732748905193</v>
      </c>
      <c r="G26" s="5">
        <f>SUM(L2:L3)</f>
        <v>17912.813000000002</v>
      </c>
      <c r="I26" s="49">
        <f>SUM(M2:M3)</f>
        <v>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A27" t="s">
        <v>47</v>
      </c>
      <c r="B27" s="23">
        <f>G27*M35/100</f>
        <v>3225.8862449216481</v>
      </c>
      <c r="C27" s="23">
        <f>G27*M36/100</f>
        <v>15554.185775338996</v>
      </c>
      <c r="D27" s="25">
        <f>G27*M37/100</f>
        <v>31559.544452065635</v>
      </c>
      <c r="E27" s="23">
        <f>G27*M38/100</f>
        <v>54219.70342426002</v>
      </c>
      <c r="F27" s="23">
        <f>G27*M39/100</f>
        <v>109217.6801034137</v>
      </c>
      <c r="G27" s="5">
        <v>213777</v>
      </c>
      <c r="I27" s="49">
        <f>SUM(M4)</f>
        <v>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A28" t="s">
        <v>48</v>
      </c>
      <c r="B28" s="23">
        <f>G28*M35/100</f>
        <v>341.35531282646548</v>
      </c>
      <c r="C28" s="23">
        <f>G28*M36/100</f>
        <v>1645.9055118450904</v>
      </c>
      <c r="D28" s="25">
        <f>G28*M37/100</f>
        <v>3339.5530254840919</v>
      </c>
      <c r="E28" s="23">
        <f>G28*M38/100</f>
        <v>5737.395065583285</v>
      </c>
      <c r="F28" s="23">
        <f>G28*M39/100</f>
        <v>11557.145084261065</v>
      </c>
      <c r="G28" s="5">
        <f>SUM(L6:L7)</f>
        <v>22621.353999999999</v>
      </c>
      <c r="I28" s="49">
        <f>SUM(M6:M7)</f>
        <v>1009.391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A29" t="s">
        <v>49</v>
      </c>
      <c r="B29" s="23">
        <f>G29*M35/100</f>
        <v>9710.3693051705177</v>
      </c>
      <c r="C29" s="23">
        <f>G29*M36/100</f>
        <v>46820.277174231269</v>
      </c>
      <c r="D29" s="25">
        <f>G29*M37/100</f>
        <v>94998.647957577297</v>
      </c>
      <c r="E29" s="23">
        <f>G29*M38/100</f>
        <v>163208.89947536602</v>
      </c>
      <c r="F29" s="23">
        <f>G29*M39/100</f>
        <v>328760.51042645494</v>
      </c>
      <c r="G29" s="5">
        <f>SUM(L5,L8:L17)</f>
        <v>643498.70433880005</v>
      </c>
      <c r="I29" s="49">
        <f>SUM(M5,M8:M17)</f>
        <v>327653.78899999999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A30" t="s">
        <v>50</v>
      </c>
      <c r="B30" s="23">
        <f>G30*M35/100</f>
        <v>575.28132206419036</v>
      </c>
      <c r="C30" s="23">
        <f>G30*M36/100</f>
        <v>2773.8214794633509</v>
      </c>
      <c r="D30" s="25">
        <f>G30*M37/100</f>
        <v>5628.1018850895261</v>
      </c>
      <c r="E30" s="23">
        <f>G30*M38/100</f>
        <v>9669.1514516173556</v>
      </c>
      <c r="F30" s="23">
        <f>G30*M39/100</f>
        <v>19477.094550865575</v>
      </c>
      <c r="G30" s="5">
        <f>SUM(L18:L22)</f>
        <v>38123.450689099998</v>
      </c>
      <c r="I30" s="49">
        <f>SUM(M18:M22)</f>
        <v>0</v>
      </c>
    </row>
    <row r="31" spans="1:31" x14ac:dyDescent="0.3">
      <c r="B31" s="5"/>
      <c r="C31" s="5"/>
      <c r="D31" s="5"/>
      <c r="E31" s="5"/>
      <c r="F31" s="5"/>
      <c r="G31" s="5">
        <f>SUM(G26:G30)</f>
        <v>935933.32202790002</v>
      </c>
    </row>
    <row r="33" spans="1:17" x14ac:dyDescent="0.3">
      <c r="M33" t="s">
        <v>68</v>
      </c>
      <c r="Q33" t="s">
        <v>68</v>
      </c>
    </row>
    <row r="34" spans="1:17" x14ac:dyDescent="0.3">
      <c r="A34" s="12"/>
      <c r="B34" s="13"/>
      <c r="C34" s="13"/>
      <c r="D34" s="13"/>
      <c r="E34" s="13"/>
      <c r="F34" s="13"/>
      <c r="G34" s="15"/>
      <c r="L34" t="s">
        <v>69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</row>
    <row r="35" spans="1:17" x14ac:dyDescent="0.3">
      <c r="A35" s="12"/>
      <c r="B35" s="13"/>
      <c r="C35" s="13"/>
      <c r="D35" s="13"/>
      <c r="E35" s="13"/>
      <c r="F35" s="13"/>
      <c r="G35" s="15"/>
      <c r="K35" t="s">
        <v>61</v>
      </c>
      <c r="L35" s="11">
        <v>286</v>
      </c>
      <c r="M35" s="17">
        <f>L35/L40*100</f>
        <v>1.5089959373186304</v>
      </c>
      <c r="N35" s="11">
        <v>98</v>
      </c>
      <c r="O35" s="11">
        <v>93</v>
      </c>
      <c r="P35" s="14">
        <f>SUM(N35:O35)</f>
        <v>191</v>
      </c>
      <c r="Q35" s="10">
        <f>P35/P40*100</f>
        <v>2.435913786506823</v>
      </c>
    </row>
    <row r="36" spans="1:17" x14ac:dyDescent="0.3">
      <c r="K36" t="s">
        <v>62</v>
      </c>
      <c r="L36" s="11">
        <v>1379</v>
      </c>
      <c r="M36" s="17">
        <f>L36/L40*100</f>
        <v>7.2758929984698986</v>
      </c>
      <c r="N36" s="11">
        <v>496</v>
      </c>
      <c r="O36" s="11">
        <v>205</v>
      </c>
      <c r="P36" s="14">
        <f t="shared" ref="P36:P40" si="0">SUM(N36:O36)</f>
        <v>701</v>
      </c>
      <c r="Q36" s="10">
        <f>P36/P40*100</f>
        <v>8.9401862007397011</v>
      </c>
    </row>
    <row r="37" spans="1:17" x14ac:dyDescent="0.3">
      <c r="G37" s="16"/>
      <c r="K37" t="s">
        <v>63</v>
      </c>
      <c r="L37" s="11">
        <v>2798</v>
      </c>
      <c r="M37" s="17">
        <f>L37/L40*100</f>
        <v>14.762834379781564</v>
      </c>
      <c r="N37" s="11">
        <v>1029</v>
      </c>
      <c r="O37" s="11">
        <v>255</v>
      </c>
      <c r="P37" s="14">
        <f t="shared" si="0"/>
        <v>1284</v>
      </c>
      <c r="Q37" s="10">
        <f>P37/P40*100</f>
        <v>16.375462313480423</v>
      </c>
    </row>
    <row r="38" spans="1:17" x14ac:dyDescent="0.3">
      <c r="K38" t="s">
        <v>64</v>
      </c>
      <c r="L38" s="11">
        <v>4807</v>
      </c>
      <c r="M38" s="17">
        <f>L38/L40*100</f>
        <v>25.36273940800929</v>
      </c>
      <c r="N38" s="11">
        <v>1488</v>
      </c>
      <c r="O38" s="11">
        <v>345</v>
      </c>
      <c r="P38" s="14">
        <f t="shared" si="0"/>
        <v>1833</v>
      </c>
      <c r="Q38" s="10">
        <f>P38/P40*100</f>
        <v>23.377120265272286</v>
      </c>
    </row>
    <row r="39" spans="1:17" x14ac:dyDescent="0.3">
      <c r="B39" s="12"/>
      <c r="C39" s="12"/>
      <c r="D39" s="12"/>
      <c r="E39" s="21"/>
      <c r="K39" t="s">
        <v>75</v>
      </c>
      <c r="L39" s="11">
        <v>9683</v>
      </c>
      <c r="M39" s="17">
        <f>L39/L40*100</f>
        <v>51.089537276420614</v>
      </c>
      <c r="N39" s="11">
        <v>2644</v>
      </c>
      <c r="O39" s="11">
        <v>1188</v>
      </c>
      <c r="P39" s="14">
        <f t="shared" si="0"/>
        <v>3832</v>
      </c>
      <c r="Q39" s="10">
        <f>P39/P40*100</f>
        <v>48.871317434000765</v>
      </c>
    </row>
    <row r="40" spans="1:17" x14ac:dyDescent="0.3">
      <c r="B40" s="19"/>
      <c r="C40" s="19"/>
      <c r="D40" s="13"/>
      <c r="E40" s="13"/>
      <c r="K40" t="s">
        <v>76</v>
      </c>
      <c r="L40" s="14">
        <f>SUM(L35:L39)</f>
        <v>18953</v>
      </c>
      <c r="M40" s="18"/>
      <c r="N40" s="14">
        <f t="shared" ref="N40:O40" si="1">SUM(N35:N39)</f>
        <v>5755</v>
      </c>
      <c r="O40" s="14">
        <f t="shared" si="1"/>
        <v>2086</v>
      </c>
      <c r="P40" s="14">
        <f t="shared" si="0"/>
        <v>7841</v>
      </c>
    </row>
    <row r="41" spans="1:17" x14ac:dyDescent="0.3">
      <c r="B41" s="19"/>
      <c r="C41" s="19"/>
      <c r="D41" s="13"/>
      <c r="E41" s="13"/>
    </row>
    <row r="42" spans="1:17" x14ac:dyDescent="0.3">
      <c r="B42" s="19"/>
      <c r="C42" s="19"/>
      <c r="D42" s="13"/>
      <c r="E42" s="13"/>
    </row>
    <row r="43" spans="1:17" x14ac:dyDescent="0.3">
      <c r="B43" s="19"/>
      <c r="C43" s="19"/>
      <c r="D43" s="13"/>
      <c r="E43" s="13"/>
      <c r="K43" t="s">
        <v>77</v>
      </c>
    </row>
    <row r="44" spans="1:17" x14ac:dyDescent="0.3">
      <c r="B44" s="19"/>
      <c r="C44" s="19"/>
      <c r="D44" s="13"/>
      <c r="E44" s="13"/>
    </row>
    <row r="45" spans="1:17" x14ac:dyDescent="0.3">
      <c r="B45" s="15"/>
      <c r="C45" s="20"/>
      <c r="D45" s="22"/>
      <c r="E45" s="22"/>
    </row>
    <row r="46" spans="1:17" x14ac:dyDescent="0.3">
      <c r="C4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workbookViewId="0">
      <selection activeCell="M13" sqref="M13"/>
    </sheetView>
  </sheetViews>
  <sheetFormatPr defaultRowHeight="17.25" x14ac:dyDescent="0.3"/>
  <cols>
    <col min="1" max="1" width="32.88671875" bestFit="1" customWidth="1"/>
    <col min="2" max="2" width="12.6640625" bestFit="1" customWidth="1"/>
    <col min="3" max="3" width="10.6640625" bestFit="1" customWidth="1"/>
    <col min="4" max="5" width="10" bestFit="1" customWidth="1"/>
    <col min="6" max="6" width="12.6640625" bestFit="1" customWidth="1"/>
    <col min="7" max="7" width="9.5546875" bestFit="1" customWidth="1"/>
    <col min="11" max="11" width="12.44140625" bestFit="1" customWidth="1"/>
    <col min="12" max="12" width="9.5546875" bestFit="1" customWidth="1"/>
    <col min="13" max="13" width="11.109375" bestFit="1" customWidth="1"/>
    <col min="14" max="14" width="10.109375" bestFit="1" customWidth="1"/>
    <col min="15" max="15" width="11.109375" bestFit="1" customWidth="1"/>
    <col min="16" max="16" width="9.5546875" bestFit="1" customWidth="1"/>
  </cols>
  <sheetData>
    <row r="1" spans="1:32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15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</row>
    <row r="2" spans="1:32" x14ac:dyDescent="0.3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 s="4">
        <v>1080.9490000000001</v>
      </c>
      <c r="K2" t="s">
        <v>46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3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 s="4">
        <v>112.92700000000001</v>
      </c>
      <c r="K3" t="s">
        <v>47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">
      <c r="A4" s="1" t="s">
        <v>21</v>
      </c>
      <c r="B4">
        <v>0</v>
      </c>
      <c r="C4">
        <v>1</v>
      </c>
      <c r="D4">
        <v>0</v>
      </c>
      <c r="E4">
        <v>0</v>
      </c>
      <c r="F4">
        <v>0</v>
      </c>
      <c r="G4" s="4">
        <v>621764.05098910001</v>
      </c>
      <c r="K4" t="s">
        <v>48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 s="4">
        <v>22379.124206</v>
      </c>
      <c r="K5" t="s">
        <v>49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 s="4">
        <v>1108.335</v>
      </c>
      <c r="K6" t="s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3">
      <c r="A7" s="1" t="s">
        <v>24</v>
      </c>
      <c r="B7">
        <v>0</v>
      </c>
      <c r="C7">
        <v>0</v>
      </c>
      <c r="D7">
        <v>1</v>
      </c>
      <c r="E7">
        <v>0</v>
      </c>
      <c r="F7">
        <v>0</v>
      </c>
      <c r="G7" s="4">
        <v>192.596</v>
      </c>
    </row>
    <row r="8" spans="1:32" x14ac:dyDescent="0.3">
      <c r="A8" s="1" t="s">
        <v>25</v>
      </c>
      <c r="B8">
        <v>0</v>
      </c>
      <c r="C8">
        <v>0</v>
      </c>
      <c r="D8">
        <v>0</v>
      </c>
      <c r="E8">
        <v>1</v>
      </c>
      <c r="F8">
        <v>0</v>
      </c>
      <c r="G8" s="4">
        <v>34489.231</v>
      </c>
      <c r="K8" s="1" t="s">
        <v>16</v>
      </c>
      <c r="L8" s="8">
        <v>11582.416999999999</v>
      </c>
      <c r="M8" s="8">
        <v>140621.35</v>
      </c>
      <c r="N8" s="8">
        <v>427720.12769220001</v>
      </c>
      <c r="O8" s="8">
        <v>2378.4344580000002</v>
      </c>
      <c r="P8" s="8">
        <v>177.20099999999999</v>
      </c>
      <c r="Q8" s="8">
        <v>35.432000000000002</v>
      </c>
      <c r="R8" s="8">
        <v>24516.612000000001</v>
      </c>
      <c r="S8" s="8">
        <v>18820.819</v>
      </c>
      <c r="T8" s="8">
        <v>6288.0323116</v>
      </c>
      <c r="U8" s="8">
        <v>3965.2249999999999</v>
      </c>
      <c r="V8" s="8">
        <v>1753.3440000000001</v>
      </c>
      <c r="W8" s="8">
        <v>37076.588930799997</v>
      </c>
      <c r="X8" s="8">
        <v>657.35900000000004</v>
      </c>
      <c r="Y8" s="8">
        <v>2315.5300000000002</v>
      </c>
      <c r="Z8" s="8">
        <v>361.84199999999998</v>
      </c>
      <c r="AA8" s="8">
        <v>6771.4735480000008</v>
      </c>
      <c r="AB8" s="8">
        <v>10411.374307800001</v>
      </c>
      <c r="AC8" s="8">
        <v>1463.9475419999999</v>
      </c>
      <c r="AD8" s="8">
        <v>3255.6526884</v>
      </c>
      <c r="AE8" s="8">
        <v>7574.2960691999997</v>
      </c>
      <c r="AF8" s="8">
        <v>74.275452000000001</v>
      </c>
    </row>
    <row r="9" spans="1:32" x14ac:dyDescent="0.3">
      <c r="A9" s="1" t="s">
        <v>26</v>
      </c>
      <c r="B9">
        <v>0</v>
      </c>
      <c r="C9">
        <v>0</v>
      </c>
      <c r="D9">
        <v>0</v>
      </c>
      <c r="E9">
        <v>1</v>
      </c>
      <c r="F9">
        <v>0</v>
      </c>
      <c r="G9" s="4">
        <v>11206.638000000001</v>
      </c>
      <c r="K9" s="1" t="s">
        <v>12</v>
      </c>
      <c r="L9" s="4">
        <v>992.26900000000001</v>
      </c>
      <c r="M9" s="9">
        <v>0</v>
      </c>
      <c r="N9" s="4">
        <v>58307.142289300005</v>
      </c>
      <c r="O9" s="4">
        <v>8266.7734739999996</v>
      </c>
      <c r="P9" s="4">
        <v>2913.6909999999998</v>
      </c>
      <c r="Q9" s="4">
        <v>18971.72</v>
      </c>
      <c r="R9" s="9">
        <v>0</v>
      </c>
      <c r="S9" s="4">
        <v>10098.726000000001</v>
      </c>
      <c r="T9" s="4">
        <v>4092.2453339999997</v>
      </c>
      <c r="U9" s="4">
        <v>7172.223</v>
      </c>
      <c r="V9" s="4">
        <v>33101.688999999998</v>
      </c>
      <c r="W9" s="4">
        <v>4518.8054132000007</v>
      </c>
      <c r="X9" s="4">
        <v>3.4260000000000002</v>
      </c>
      <c r="Y9" s="4">
        <v>128.41800000000001</v>
      </c>
      <c r="Z9" s="4">
        <v>177.071</v>
      </c>
      <c r="AA9" s="4">
        <v>8924.0489464000002</v>
      </c>
      <c r="AB9" s="4">
        <v>512.23571070000003</v>
      </c>
      <c r="AC9" s="4">
        <v>5088.2725260000007</v>
      </c>
      <c r="AD9" s="4">
        <v>685.98066599999993</v>
      </c>
      <c r="AE9" s="4">
        <v>357.94758680000001</v>
      </c>
      <c r="AF9" s="4">
        <v>2.6520536000000003</v>
      </c>
    </row>
    <row r="10" spans="1:32" x14ac:dyDescent="0.3">
      <c r="A10" s="1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 s="4">
        <v>8162.4795921999994</v>
      </c>
      <c r="K10" s="49"/>
      <c r="L10" s="12" t="s">
        <v>51</v>
      </c>
      <c r="M10" s="21" t="s">
        <v>184</v>
      </c>
      <c r="N10" s="21" t="s">
        <v>53</v>
      </c>
      <c r="O10" s="21" t="s">
        <v>54</v>
      </c>
      <c r="P10" s="21" t="s">
        <v>55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2" x14ac:dyDescent="0.3">
      <c r="A11" s="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 s="4">
        <v>4694.4139999999998</v>
      </c>
      <c r="K11" s="52" t="s">
        <v>16</v>
      </c>
      <c r="L11" s="23">
        <f>SUM(L8:M8)</f>
        <v>152203.76699999999</v>
      </c>
      <c r="M11" s="23">
        <f>SUM(N8)</f>
        <v>427720.12769220001</v>
      </c>
      <c r="N11" s="23">
        <f>SUM(P8:Q8)</f>
        <v>212.63299999999998</v>
      </c>
      <c r="O11" s="23">
        <f>SUM(O8,R8:AA8)</f>
        <v>104905.26024839999</v>
      </c>
      <c r="P11" s="23">
        <f>SUM(AB8:AF8)</f>
        <v>22779.546059400003</v>
      </c>
      <c r="Q11" s="5">
        <f>SUM(L11:P11)</f>
        <v>707821.33400000003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2" x14ac:dyDescent="0.3">
      <c r="A12" s="1" t="s">
        <v>29</v>
      </c>
      <c r="B12">
        <v>0</v>
      </c>
      <c r="C12">
        <v>0</v>
      </c>
      <c r="D12">
        <v>0</v>
      </c>
      <c r="E12">
        <v>1</v>
      </c>
      <c r="F12">
        <v>0</v>
      </c>
      <c r="G12" s="4">
        <v>366.53699999999998</v>
      </c>
      <c r="K12" s="49" t="s">
        <v>41</v>
      </c>
      <c r="L12" s="49">
        <f>(L11/Q11)*Q12</f>
        <v>5108.4994460183925</v>
      </c>
      <c r="M12" s="49">
        <f>(M11/Q11)*Q12</f>
        <v>14355.807864903369</v>
      </c>
      <c r="N12" s="49">
        <f>(N11/Q11)*Q12</f>
        <v>7.1367193080393916</v>
      </c>
      <c r="O12" s="49">
        <f>(O11/Q11)*Q12</f>
        <v>3520.993431544744</v>
      </c>
      <c r="P12" s="49">
        <f>(P11/Q11)*Q12</f>
        <v>764.5625382254525</v>
      </c>
      <c r="Q12" s="5">
        <v>23757</v>
      </c>
      <c r="R12" s="5"/>
      <c r="S12" s="5" t="s">
        <v>185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2" x14ac:dyDescent="0.3">
      <c r="A13" s="1" t="s">
        <v>30</v>
      </c>
      <c r="B13">
        <v>0</v>
      </c>
      <c r="C13">
        <v>0</v>
      </c>
      <c r="D13">
        <v>0</v>
      </c>
      <c r="E13">
        <v>1</v>
      </c>
      <c r="F13">
        <v>0</v>
      </c>
      <c r="G13" s="4">
        <v>27312.970383600001</v>
      </c>
      <c r="K13" s="23" t="s">
        <v>12</v>
      </c>
      <c r="L13" s="23">
        <f>SUM(L9:M9)</f>
        <v>992.26900000000001</v>
      </c>
      <c r="M13" s="24">
        <v>58307.142289300005</v>
      </c>
      <c r="N13" s="23">
        <f>SUM(P9:Q9)</f>
        <v>21885.411</v>
      </c>
      <c r="O13" s="23">
        <f>SUM(O9,R9:AA9)</f>
        <v>76483.426167600002</v>
      </c>
      <c r="P13" s="23">
        <f>SUM(AB9:AF9)</f>
        <v>6647.0885431000006</v>
      </c>
      <c r="Q13" s="5">
        <f>SUM(L13:P13)</f>
        <v>164315.337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2" x14ac:dyDescent="0.3">
      <c r="A14" s="1" t="s">
        <v>31</v>
      </c>
      <c r="B14">
        <v>0</v>
      </c>
      <c r="C14">
        <v>0</v>
      </c>
      <c r="D14">
        <v>0</v>
      </c>
      <c r="E14">
        <v>1</v>
      </c>
      <c r="F14">
        <v>0</v>
      </c>
      <c r="G14" s="4">
        <v>34.634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2" x14ac:dyDescent="0.3">
      <c r="A15" s="1" t="s">
        <v>32</v>
      </c>
      <c r="B15">
        <v>0</v>
      </c>
      <c r="C15">
        <v>0</v>
      </c>
      <c r="D15">
        <v>0</v>
      </c>
      <c r="E15">
        <v>1</v>
      </c>
      <c r="F15">
        <v>0</v>
      </c>
      <c r="G15" s="4">
        <v>229.09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2" x14ac:dyDescent="0.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 s="4">
        <v>847.43</v>
      </c>
      <c r="K16" s="5" t="s">
        <v>188</v>
      </c>
      <c r="L16" s="5">
        <f>미시사회계정행렬최종!C38</f>
        <v>75059.411000000022</v>
      </c>
      <c r="M16" s="5">
        <f>미시사회계정행렬최종!D38</f>
        <v>151003.99800000002</v>
      </c>
      <c r="N16" s="5">
        <f>미시사회계정행렬최종!E38</f>
        <v>2241252.3016307</v>
      </c>
      <c r="O16" s="5">
        <f>미시사회계정행렬최종!F38</f>
        <v>179126.80124099998</v>
      </c>
      <c r="P16" s="5">
        <f>미시사회계정행렬최종!G38</f>
        <v>121361.61600000004</v>
      </c>
      <c r="Q16" s="5">
        <f>미시사회계정행렬최종!H38</f>
        <v>275175.86499999993</v>
      </c>
      <c r="R16" s="5">
        <f>미시사회계정행렬최종!I38</f>
        <v>183435.967</v>
      </c>
      <c r="S16" s="5">
        <f>미시사회계정행렬최종!J38</f>
        <v>190141.24699999994</v>
      </c>
      <c r="T16" s="5">
        <f>미시사회계정행렬최종!K38</f>
        <v>124597.6555084</v>
      </c>
      <c r="U16" s="5">
        <f>미시사회계정행렬최종!L38</f>
        <v>188464.76500000001</v>
      </c>
      <c r="V16" s="5">
        <f>미시사회계정행렬최종!M38</f>
        <v>232016.86000000002</v>
      </c>
      <c r="W16" s="5">
        <f>미시사회계정행렬최종!N38</f>
        <v>338248.21692560002</v>
      </c>
      <c r="X16" s="5">
        <f>미시사회계정행렬최종!O38</f>
        <v>160046.372</v>
      </c>
      <c r="Y16" s="5">
        <f>미시사회계정행렬최종!P38</f>
        <v>132374.12900000004</v>
      </c>
      <c r="Z16" s="5">
        <f>미시사회계정행렬최종!Q38</f>
        <v>167751.88099999999</v>
      </c>
      <c r="AA16" s="5">
        <f>미시사회계정행렬최종!R38</f>
        <v>116722.49395759999</v>
      </c>
      <c r="AB16" s="5">
        <f>미시사회계정행렬최종!S38</f>
        <v>33844.200369300001</v>
      </c>
      <c r="AC16" s="5">
        <f>미시사회계정행렬최종!T38</f>
        <v>110254.13775899998</v>
      </c>
      <c r="AD16" s="5">
        <f>미시사회계정행렬최종!U38</f>
        <v>39883.651491600001</v>
      </c>
      <c r="AE16" s="5">
        <f>미시사회계정행렬최종!V38</f>
        <v>36336.056074399996</v>
      </c>
      <c r="AF16" s="5">
        <f>미시사회계정행렬최종!W38</f>
        <v>4054.3380423999988</v>
      </c>
    </row>
    <row r="17" spans="1:31" x14ac:dyDescent="0.3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 s="4">
        <v>2093.6586407999998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3">
      <c r="A18" s="1" t="s">
        <v>35</v>
      </c>
      <c r="B18">
        <v>0</v>
      </c>
      <c r="C18">
        <v>0</v>
      </c>
      <c r="D18">
        <v>0</v>
      </c>
      <c r="E18">
        <v>0</v>
      </c>
      <c r="F18">
        <v>1</v>
      </c>
      <c r="G18" s="4">
        <v>5672.7650109000006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3">
      <c r="A19" s="1" t="s">
        <v>36</v>
      </c>
      <c r="B19">
        <v>0</v>
      </c>
      <c r="C19">
        <v>0</v>
      </c>
      <c r="D19">
        <v>0</v>
      </c>
      <c r="E19">
        <v>0</v>
      </c>
      <c r="F19">
        <v>1</v>
      </c>
      <c r="G19" s="4">
        <v>13774.549794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3">
      <c r="A20" s="1" t="s">
        <v>37</v>
      </c>
      <c r="B20">
        <v>0</v>
      </c>
      <c r="C20">
        <v>0</v>
      </c>
      <c r="D20">
        <v>0</v>
      </c>
      <c r="E20">
        <v>0</v>
      </c>
      <c r="F20">
        <v>1</v>
      </c>
      <c r="G20" s="4">
        <v>4249.5384077999997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3">
      <c r="A21" s="1" t="s">
        <v>38</v>
      </c>
      <c r="B21">
        <v>0</v>
      </c>
      <c r="C21">
        <v>0</v>
      </c>
      <c r="D21">
        <v>0</v>
      </c>
      <c r="E21">
        <v>0</v>
      </c>
      <c r="F21">
        <v>1</v>
      </c>
      <c r="G21" s="4">
        <v>1830.8726164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3">
      <c r="A22" s="1" t="s">
        <v>39</v>
      </c>
      <c r="B22">
        <v>0</v>
      </c>
      <c r="C22">
        <v>0</v>
      </c>
      <c r="D22">
        <v>0</v>
      </c>
      <c r="E22">
        <v>0</v>
      </c>
      <c r="F22">
        <v>1</v>
      </c>
      <c r="G22" s="4">
        <v>0.21635919999999997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3"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3"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3"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3"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3"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3"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3">
      <c r="B29" t="s">
        <v>15</v>
      </c>
      <c r="G29" t="s">
        <v>190</v>
      </c>
      <c r="H29" t="s">
        <v>16</v>
      </c>
      <c r="L29" t="s">
        <v>17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3">
      <c r="B30" t="s">
        <v>51</v>
      </c>
      <c r="C30" t="s">
        <v>184</v>
      </c>
      <c r="D30" t="s">
        <v>53</v>
      </c>
      <c r="E30" t="s">
        <v>54</v>
      </c>
      <c r="F30" t="s">
        <v>55</v>
      </c>
      <c r="L30" t="s">
        <v>51</v>
      </c>
      <c r="M30" t="s">
        <v>184</v>
      </c>
      <c r="N30" t="s">
        <v>53</v>
      </c>
      <c r="O30" t="s">
        <v>54</v>
      </c>
      <c r="P30" t="s">
        <v>55</v>
      </c>
    </row>
    <row r="31" spans="1:31" x14ac:dyDescent="0.3">
      <c r="A31" t="s">
        <v>186</v>
      </c>
      <c r="B31" s="19">
        <f>SUM(G2:G3)</f>
        <v>1193.876</v>
      </c>
      <c r="C31" s="39"/>
      <c r="D31" s="39"/>
      <c r="E31" s="39"/>
      <c r="F31" s="39"/>
      <c r="G31">
        <f>B31/$G$36</f>
        <v>1.567583096477979E-3</v>
      </c>
      <c r="K31" t="s">
        <v>186</v>
      </c>
      <c r="L31" s="19">
        <f>SUM(L16:M16)</f>
        <v>226063.40900000004</v>
      </c>
      <c r="M31" s="39"/>
      <c r="N31" s="39"/>
      <c r="O31" s="39"/>
      <c r="P31" s="39"/>
    </row>
    <row r="32" spans="1:31" x14ac:dyDescent="0.3">
      <c r="A32" t="s">
        <v>47</v>
      </c>
      <c r="B32" s="39"/>
      <c r="C32" s="19">
        <f>SUM(G4)</f>
        <v>621764.05098910001</v>
      </c>
      <c r="D32" s="39"/>
      <c r="E32" s="39"/>
      <c r="F32" s="39"/>
      <c r="G32">
        <f>C32/$G$36</f>
        <v>0.81638865035245323</v>
      </c>
      <c r="K32" t="s">
        <v>47</v>
      </c>
      <c r="L32" s="39"/>
      <c r="M32" s="19">
        <f>SUM(N16)</f>
        <v>2241252.3016307</v>
      </c>
      <c r="N32" s="39"/>
      <c r="O32" s="39"/>
      <c r="P32" s="39"/>
    </row>
    <row r="33" spans="1:16" x14ac:dyDescent="0.3">
      <c r="A33" t="s">
        <v>187</v>
      </c>
      <c r="B33" s="39"/>
      <c r="C33" s="39"/>
      <c r="D33" s="19">
        <f>SUM(G6:G7)</f>
        <v>1300.931</v>
      </c>
      <c r="E33" s="39"/>
      <c r="F33" s="39"/>
      <c r="G33">
        <f>D33/$G$36</f>
        <v>1.7081484553539848E-3</v>
      </c>
      <c r="K33" t="s">
        <v>187</v>
      </c>
      <c r="L33" s="39"/>
      <c r="M33" s="39"/>
      <c r="N33" s="19">
        <f>SUM(P16:Q16)</f>
        <v>396537.48099999997</v>
      </c>
      <c r="O33" s="39"/>
      <c r="P33" s="39"/>
    </row>
    <row r="34" spans="1:16" x14ac:dyDescent="0.3">
      <c r="A34" t="s">
        <v>49</v>
      </c>
      <c r="B34" s="39"/>
      <c r="C34" s="39"/>
      <c r="D34" s="39"/>
      <c r="E34" s="19">
        <f>SUM(G5,G8:G17)</f>
        <v>111816.2068226</v>
      </c>
      <c r="F34" s="39"/>
      <c r="G34">
        <f>E34/$G$36</f>
        <v>0.14681691878167702</v>
      </c>
      <c r="K34" t="s">
        <v>49</v>
      </c>
      <c r="L34" s="39"/>
      <c r="M34" s="39"/>
      <c r="N34" s="39"/>
      <c r="O34" s="19">
        <f>SUM(O16,R16:AA16)</f>
        <v>2012926.3886326002</v>
      </c>
      <c r="P34" s="39"/>
    </row>
    <row r="35" spans="1:16" x14ac:dyDescent="0.3">
      <c r="A35" t="s">
        <v>50</v>
      </c>
      <c r="B35" s="39"/>
      <c r="C35" s="39"/>
      <c r="D35" s="39"/>
      <c r="E35" s="39"/>
      <c r="F35" s="19">
        <f>SUM(G18:G22)</f>
        <v>25527.9421883</v>
      </c>
      <c r="G35">
        <f>F35/$G$36</f>
        <v>3.3518699314037767E-2</v>
      </c>
      <c r="K35" t="s">
        <v>50</v>
      </c>
      <c r="L35" s="39"/>
      <c r="M35" s="39"/>
      <c r="N35" s="39"/>
      <c r="O35" s="39"/>
      <c r="P35" s="19">
        <f>SUM(AB16:AF16)</f>
        <v>224372.38373669997</v>
      </c>
    </row>
    <row r="36" spans="1:16" x14ac:dyDescent="0.3">
      <c r="A36" t="s">
        <v>67</v>
      </c>
      <c r="G36" s="14">
        <f>SUM(B31,C32,D33,E34,F35)</f>
        <v>761603.00699999998</v>
      </c>
      <c r="H36" s="44">
        <v>761603</v>
      </c>
    </row>
    <row r="37" spans="1:16" x14ac:dyDescent="0.3">
      <c r="A37" t="s">
        <v>56</v>
      </c>
    </row>
    <row r="38" spans="1:16" x14ac:dyDescent="0.3">
      <c r="L38" t="s">
        <v>189</v>
      </c>
    </row>
    <row r="39" spans="1:16" x14ac:dyDescent="0.3">
      <c r="L39" t="s">
        <v>51</v>
      </c>
      <c r="M39" t="s">
        <v>184</v>
      </c>
      <c r="N39" t="s">
        <v>53</v>
      </c>
      <c r="O39" t="s">
        <v>54</v>
      </c>
      <c r="P39" t="s">
        <v>55</v>
      </c>
    </row>
    <row r="40" spans="1:16" x14ac:dyDescent="0.3">
      <c r="K40" t="s">
        <v>186</v>
      </c>
      <c r="L40" s="19">
        <f>L31-B31</f>
        <v>224869.53300000005</v>
      </c>
      <c r="M40" s="39"/>
      <c r="N40" s="39"/>
      <c r="O40" s="39"/>
      <c r="P40" s="39"/>
    </row>
    <row r="41" spans="1:16" x14ac:dyDescent="0.3">
      <c r="K41" t="s">
        <v>47</v>
      </c>
      <c r="L41" s="39"/>
      <c r="M41" s="19">
        <f>M32-C32</f>
        <v>1619488.2506416</v>
      </c>
      <c r="N41" s="39"/>
      <c r="O41" s="39"/>
      <c r="P41" s="39"/>
    </row>
    <row r="42" spans="1:16" x14ac:dyDescent="0.3">
      <c r="K42" t="s">
        <v>187</v>
      </c>
      <c r="L42" s="39"/>
      <c r="M42" s="39"/>
      <c r="N42" s="19">
        <f>N33-D33</f>
        <v>395236.55</v>
      </c>
      <c r="O42" s="39"/>
      <c r="P42" s="39"/>
    </row>
    <row r="43" spans="1:16" x14ac:dyDescent="0.3">
      <c r="K43" t="s">
        <v>49</v>
      </c>
      <c r="L43" s="39"/>
      <c r="M43" s="39"/>
      <c r="N43" s="39"/>
      <c r="O43" s="19">
        <f>O34-E34</f>
        <v>1901110.1818100002</v>
      </c>
      <c r="P43" s="39"/>
    </row>
    <row r="44" spans="1:16" x14ac:dyDescent="0.3">
      <c r="K44" t="s">
        <v>50</v>
      </c>
      <c r="L44" s="39"/>
      <c r="M44" s="39"/>
      <c r="N44" s="39"/>
      <c r="O44" s="39"/>
      <c r="P44" s="19">
        <f>P35-F35</f>
        <v>198844.44154839998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opLeftCell="O19" workbookViewId="0">
      <selection activeCell="AA24" sqref="AA24"/>
    </sheetView>
  </sheetViews>
  <sheetFormatPr defaultRowHeight="17.25" x14ac:dyDescent="0.3"/>
  <cols>
    <col min="7" max="8" width="9.6640625" bestFit="1" customWidth="1"/>
    <col min="9" max="9" width="11.21875" bestFit="1" customWidth="1"/>
    <col min="10" max="12" width="9.109375" bestFit="1" customWidth="1"/>
    <col min="13" max="14" width="9.6640625" bestFit="1" customWidth="1"/>
    <col min="15" max="15" width="9.5546875" bestFit="1" customWidth="1"/>
    <col min="16" max="16" width="9.77734375" bestFit="1" customWidth="1"/>
    <col min="17" max="17" width="9.6640625" bestFit="1" customWidth="1"/>
    <col min="18" max="19" width="9.21875" bestFit="1" customWidth="1"/>
    <col min="20" max="20" width="9.6640625" bestFit="1" customWidth="1"/>
    <col min="21" max="21" width="9.5546875" customWidth="1"/>
    <col min="22" max="25" width="9.109375" bestFit="1" customWidth="1"/>
    <col min="26" max="27" width="9.5546875" bestFit="1" customWidth="1"/>
    <col min="28" max="28" width="11.21875" bestFit="1" customWidth="1"/>
    <col min="29" max="29" width="9.6640625" bestFit="1" customWidth="1"/>
    <col min="30" max="30" width="11.21875" bestFit="1" customWidth="1"/>
    <col min="31" max="31" width="9.5546875" bestFit="1" customWidth="1"/>
    <col min="32" max="32" width="9.6640625" bestFit="1" customWidth="1"/>
    <col min="33" max="33" width="11.21875" bestFit="1" customWidth="1"/>
    <col min="34" max="34" width="9.5546875" bestFit="1" customWidth="1"/>
    <col min="35" max="35" width="11.21875" bestFit="1" customWidth="1"/>
    <col min="36" max="36" width="9.5546875" bestFit="1" customWidth="1"/>
    <col min="37" max="37" width="9.109375" bestFit="1" customWidth="1"/>
    <col min="38" max="38" width="9.6640625" bestFit="1" customWidth="1"/>
    <col min="39" max="39" width="9.109375" bestFit="1" customWidth="1"/>
    <col min="40" max="40" width="9.5546875" bestFit="1" customWidth="1"/>
    <col min="41" max="41" width="9" customWidth="1"/>
    <col min="42" max="42" width="9.5546875" bestFit="1" customWidth="1"/>
    <col min="43" max="43" width="9" bestFit="1" customWidth="1"/>
    <col min="44" max="44" width="9.109375" bestFit="1" customWidth="1"/>
    <col min="45" max="45" width="11.109375" bestFit="1" customWidth="1"/>
  </cols>
  <sheetData>
    <row r="1" spans="1:46" x14ac:dyDescent="0.3">
      <c r="A1" s="125"/>
      <c r="B1" s="125"/>
      <c r="C1" s="125"/>
      <c r="D1" s="125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</row>
    <row r="2" spans="1:46" x14ac:dyDescent="0.3">
      <c r="A2" s="125"/>
      <c r="B2" s="125"/>
      <c r="C2" s="125"/>
      <c r="D2" s="125"/>
      <c r="E2" s="27"/>
      <c r="F2" s="27"/>
      <c r="G2" s="125" t="s">
        <v>87</v>
      </c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28"/>
    </row>
    <row r="3" spans="1:46" x14ac:dyDescent="0.3">
      <c r="A3" s="27"/>
      <c r="B3" s="27"/>
      <c r="C3" s="29"/>
      <c r="D3" s="29"/>
      <c r="E3" s="27"/>
      <c r="F3" s="27"/>
      <c r="G3" s="125" t="s">
        <v>88</v>
      </c>
      <c r="H3" s="126"/>
      <c r="I3" s="125" t="s">
        <v>89</v>
      </c>
      <c r="J3" s="126"/>
      <c r="K3" s="125" t="s">
        <v>90</v>
      </c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5" t="s">
        <v>91</v>
      </c>
      <c r="AB3" s="126"/>
      <c r="AC3" s="126"/>
      <c r="AD3" s="126"/>
      <c r="AE3" s="28"/>
      <c r="AF3" s="125" t="s">
        <v>92</v>
      </c>
      <c r="AG3" s="126"/>
      <c r="AH3" s="126"/>
      <c r="AI3" s="126"/>
      <c r="AJ3" s="126"/>
      <c r="AK3" s="125" t="s">
        <v>93</v>
      </c>
      <c r="AL3" s="126"/>
      <c r="AM3" s="126"/>
      <c r="AN3" s="126"/>
      <c r="AO3" s="28"/>
      <c r="AP3" s="125" t="s">
        <v>94</v>
      </c>
      <c r="AQ3" s="125"/>
      <c r="AR3" s="126"/>
      <c r="AS3" s="126"/>
      <c r="AT3" s="28"/>
    </row>
    <row r="4" spans="1:46" x14ac:dyDescent="0.3">
      <c r="A4" s="27"/>
      <c r="B4" s="27"/>
      <c r="C4" s="27"/>
      <c r="D4" s="27"/>
      <c r="E4" s="27"/>
      <c r="F4" s="27"/>
      <c r="G4" s="30" t="s">
        <v>95</v>
      </c>
      <c r="H4" s="30" t="s">
        <v>95</v>
      </c>
      <c r="I4" s="30" t="s">
        <v>96</v>
      </c>
      <c r="J4" s="30" t="s">
        <v>96</v>
      </c>
      <c r="K4" s="30" t="s">
        <v>97</v>
      </c>
      <c r="L4" s="30" t="s">
        <v>97</v>
      </c>
      <c r="M4" s="30" t="s">
        <v>97</v>
      </c>
      <c r="N4" s="30" t="s">
        <v>97</v>
      </c>
      <c r="O4" s="30" t="s">
        <v>174</v>
      </c>
      <c r="P4" s="30" t="s">
        <v>97</v>
      </c>
      <c r="Q4" s="30" t="s">
        <v>97</v>
      </c>
      <c r="R4" s="30" t="s">
        <v>97</v>
      </c>
      <c r="S4" s="30" t="s">
        <v>97</v>
      </c>
      <c r="T4" s="30" t="s">
        <v>97</v>
      </c>
      <c r="U4" s="30" t="s">
        <v>97</v>
      </c>
      <c r="V4" s="30" t="s">
        <v>97</v>
      </c>
      <c r="W4" s="30" t="s">
        <v>97</v>
      </c>
      <c r="X4" s="30" t="s">
        <v>97</v>
      </c>
      <c r="Y4" s="30" t="s">
        <v>97</v>
      </c>
      <c r="Z4" s="30" t="s">
        <v>97</v>
      </c>
      <c r="AA4" s="30" t="s">
        <v>98</v>
      </c>
      <c r="AB4" s="30" t="s">
        <v>98</v>
      </c>
      <c r="AC4" s="30" t="s">
        <v>98</v>
      </c>
      <c r="AD4" s="30" t="s">
        <v>98</v>
      </c>
      <c r="AE4" s="30" t="s">
        <v>173</v>
      </c>
      <c r="AF4" s="30" t="s">
        <v>99</v>
      </c>
      <c r="AG4" s="30" t="s">
        <v>99</v>
      </c>
      <c r="AH4" s="30" t="s">
        <v>99</v>
      </c>
      <c r="AI4" s="30" t="s">
        <v>99</v>
      </c>
      <c r="AJ4" s="30" t="s">
        <v>99</v>
      </c>
      <c r="AK4" s="30" t="s">
        <v>100</v>
      </c>
      <c r="AL4" s="30" t="s">
        <v>100</v>
      </c>
      <c r="AM4" s="30" t="s">
        <v>100</v>
      </c>
      <c r="AN4" s="30" t="s">
        <v>100</v>
      </c>
      <c r="AO4" s="30" t="s">
        <v>100</v>
      </c>
      <c r="AP4" s="30" t="s">
        <v>101</v>
      </c>
      <c r="AQ4" s="30" t="s">
        <v>101</v>
      </c>
      <c r="AR4" s="30" t="s">
        <v>101</v>
      </c>
      <c r="AS4" s="30" t="s">
        <v>101</v>
      </c>
      <c r="AT4" s="30"/>
    </row>
    <row r="5" spans="1:46" x14ac:dyDescent="0.3">
      <c r="A5" s="30"/>
      <c r="B5" s="30"/>
      <c r="C5" s="30"/>
      <c r="D5" s="30"/>
      <c r="E5" s="30"/>
      <c r="F5" s="30"/>
      <c r="G5" s="31" t="s">
        <v>102</v>
      </c>
      <c r="H5" s="31" t="s">
        <v>103</v>
      </c>
      <c r="I5" s="30" t="s">
        <v>104</v>
      </c>
      <c r="J5" s="30" t="s">
        <v>105</v>
      </c>
      <c r="K5" s="30" t="s">
        <v>106</v>
      </c>
      <c r="L5" s="30" t="s">
        <v>107</v>
      </c>
      <c r="M5" s="30" t="s">
        <v>108</v>
      </c>
      <c r="N5" s="30" t="s">
        <v>109</v>
      </c>
      <c r="O5" s="30"/>
      <c r="P5" s="30" t="s">
        <v>110</v>
      </c>
      <c r="Q5" s="30" t="s">
        <v>111</v>
      </c>
      <c r="R5" s="30" t="s">
        <v>112</v>
      </c>
      <c r="S5" s="36" t="s">
        <v>183</v>
      </c>
      <c r="T5" s="30" t="s">
        <v>114</v>
      </c>
      <c r="U5" s="30" t="s">
        <v>113</v>
      </c>
      <c r="V5" s="31" t="s">
        <v>102</v>
      </c>
      <c r="W5" s="31" t="s">
        <v>103</v>
      </c>
      <c r="X5" s="30" t="s">
        <v>104</v>
      </c>
      <c r="Y5" s="30" t="s">
        <v>105</v>
      </c>
      <c r="Z5" s="30" t="s">
        <v>115</v>
      </c>
      <c r="AA5" s="30" t="s">
        <v>116</v>
      </c>
      <c r="AB5" s="30" t="s">
        <v>117</v>
      </c>
      <c r="AC5" s="30" t="s">
        <v>194</v>
      </c>
      <c r="AD5" s="30" t="s">
        <v>195</v>
      </c>
      <c r="AE5" s="36" t="s">
        <v>170</v>
      </c>
      <c r="AF5" s="30" t="s">
        <v>116</v>
      </c>
      <c r="AG5" s="31" t="s">
        <v>120</v>
      </c>
      <c r="AH5" s="31" t="s">
        <v>121</v>
      </c>
      <c r="AI5" s="30" t="s">
        <v>118</v>
      </c>
      <c r="AJ5" s="30" t="s">
        <v>119</v>
      </c>
      <c r="AK5" s="30" t="s">
        <v>116</v>
      </c>
      <c r="AL5" s="31" t="s">
        <v>120</v>
      </c>
      <c r="AM5" s="31" t="s">
        <v>121</v>
      </c>
      <c r="AN5" s="30" t="s">
        <v>118</v>
      </c>
      <c r="AO5" s="30"/>
      <c r="AP5" s="31" t="s">
        <v>122</v>
      </c>
      <c r="AQ5" s="31" t="s">
        <v>122</v>
      </c>
      <c r="AR5" s="31" t="s">
        <v>123</v>
      </c>
      <c r="AS5" s="30" t="s">
        <v>124</v>
      </c>
      <c r="AT5" s="30"/>
    </row>
    <row r="6" spans="1:46" x14ac:dyDescent="0.3">
      <c r="A6" s="30"/>
      <c r="B6" s="30"/>
      <c r="C6" s="30"/>
      <c r="D6" s="30"/>
      <c r="E6" s="30"/>
      <c r="F6" s="30"/>
      <c r="G6" s="31" t="s">
        <v>102</v>
      </c>
      <c r="H6" s="31" t="s">
        <v>103</v>
      </c>
      <c r="I6" s="30" t="s">
        <v>104</v>
      </c>
      <c r="J6" s="32" t="s">
        <v>170</v>
      </c>
      <c r="K6" s="36" t="s">
        <v>175</v>
      </c>
      <c r="L6" s="40" t="s">
        <v>176</v>
      </c>
      <c r="M6" s="40" t="s">
        <v>177</v>
      </c>
      <c r="N6" s="40" t="s">
        <v>178</v>
      </c>
      <c r="O6" s="40" t="s">
        <v>179</v>
      </c>
      <c r="P6" s="30" t="s">
        <v>110</v>
      </c>
      <c r="Q6" s="30" t="s">
        <v>111</v>
      </c>
      <c r="R6" s="30" t="s">
        <v>112</v>
      </c>
      <c r="S6" s="40" t="s">
        <v>183</v>
      </c>
      <c r="T6" s="30" t="s">
        <v>114</v>
      </c>
      <c r="U6" s="30" t="s">
        <v>113</v>
      </c>
      <c r="V6" s="31" t="s">
        <v>102</v>
      </c>
      <c r="W6" s="31" t="s">
        <v>103</v>
      </c>
      <c r="X6" s="30" t="s">
        <v>104</v>
      </c>
      <c r="Y6" s="32" t="s">
        <v>128</v>
      </c>
      <c r="Z6" s="30" t="s">
        <v>115</v>
      </c>
      <c r="AA6" s="30" t="s">
        <v>116</v>
      </c>
      <c r="AB6" s="30" t="s">
        <v>117</v>
      </c>
      <c r="AC6" s="40" t="s">
        <v>53</v>
      </c>
      <c r="AD6" s="31" t="s">
        <v>196</v>
      </c>
      <c r="AE6" s="32" t="s">
        <v>170</v>
      </c>
      <c r="AF6" s="30" t="s">
        <v>116</v>
      </c>
      <c r="AG6" s="32" t="s">
        <v>126</v>
      </c>
      <c r="AH6" s="32" t="s">
        <v>127</v>
      </c>
      <c r="AI6" s="30" t="s">
        <v>118</v>
      </c>
      <c r="AJ6" s="32" t="s">
        <v>128</v>
      </c>
      <c r="AK6" s="30" t="s">
        <v>116</v>
      </c>
      <c r="AL6" s="32" t="s">
        <v>129</v>
      </c>
      <c r="AM6" s="32" t="s">
        <v>127</v>
      </c>
      <c r="AN6" s="30" t="s">
        <v>118</v>
      </c>
      <c r="AO6" s="32" t="s">
        <v>128</v>
      </c>
      <c r="AP6" s="31" t="s">
        <v>122</v>
      </c>
      <c r="AQ6" s="32" t="s">
        <v>128</v>
      </c>
      <c r="AR6" s="31" t="s">
        <v>123</v>
      </c>
      <c r="AS6" s="30" t="s">
        <v>124</v>
      </c>
      <c r="AT6" s="30"/>
    </row>
    <row r="7" spans="1:46" x14ac:dyDescent="0.3">
      <c r="A7" s="121" t="s">
        <v>130</v>
      </c>
      <c r="B7" s="123" t="s">
        <v>88</v>
      </c>
      <c r="C7" s="27" t="s">
        <v>95</v>
      </c>
      <c r="D7" s="33" t="s">
        <v>131</v>
      </c>
      <c r="E7" s="29" t="s">
        <v>102</v>
      </c>
      <c r="F7" s="29" t="s">
        <v>102</v>
      </c>
      <c r="G7" s="27">
        <v>0</v>
      </c>
      <c r="H7" s="27"/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/>
      <c r="P7" s="27">
        <v>0</v>
      </c>
      <c r="Q7" s="27">
        <v>0</v>
      </c>
      <c r="R7" s="27"/>
      <c r="S7" s="27"/>
      <c r="T7" s="27"/>
      <c r="U7" s="27"/>
      <c r="V7" s="27"/>
      <c r="W7" s="27"/>
      <c r="X7" s="27"/>
      <c r="Y7" s="27"/>
      <c r="Z7" s="27">
        <v>0</v>
      </c>
      <c r="AA7" s="37">
        <f>PEP노동및자본국산!B34</f>
        <v>6000.0854791340153</v>
      </c>
      <c r="AB7" s="37">
        <f>PEP노동및자본국산!C34</f>
        <v>112810.76201157515</v>
      </c>
      <c r="AC7" s="37">
        <f>PEP노동및자본국산!D34</f>
        <v>50093.678457060843</v>
      </c>
      <c r="AD7" s="37">
        <f>PEP노동및자본국산!E34</f>
        <v>278787.75339045835</v>
      </c>
      <c r="AE7" s="37">
        <f>PEP노동및자본국산!F34</f>
        <v>31436.136488637389</v>
      </c>
      <c r="AF7" s="27">
        <v>0</v>
      </c>
      <c r="AG7" s="27">
        <v>0</v>
      </c>
      <c r="AH7" s="27"/>
      <c r="AI7" s="27">
        <v>0</v>
      </c>
      <c r="AJ7" s="27">
        <v>0</v>
      </c>
      <c r="AK7" s="27">
        <v>0</v>
      </c>
      <c r="AL7" s="27">
        <v>0</v>
      </c>
      <c r="AM7" s="27"/>
      <c r="AN7" s="27">
        <v>0</v>
      </c>
      <c r="AO7" s="27"/>
      <c r="AP7" s="27">
        <v>0</v>
      </c>
      <c r="AQ7" s="27"/>
      <c r="AR7" s="27"/>
      <c r="AS7" s="48">
        <f>SUM(G7:AR7)</f>
        <v>479128.4158268657</v>
      </c>
      <c r="AT7" s="27"/>
    </row>
    <row r="8" spans="1:46" x14ac:dyDescent="0.3">
      <c r="A8" s="122"/>
      <c r="B8" s="124"/>
      <c r="C8" s="27" t="s">
        <v>95</v>
      </c>
      <c r="D8" s="33" t="s">
        <v>132</v>
      </c>
      <c r="E8" s="29" t="s">
        <v>103</v>
      </c>
      <c r="F8" s="29" t="s">
        <v>103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37">
        <f>PEP노동및자본국산!B35</f>
        <v>5319.7380303540431</v>
      </c>
      <c r="AB8" s="37">
        <f>PEP노동및자본국산!C35</f>
        <v>73962.022775800942</v>
      </c>
      <c r="AC8" s="37">
        <f>PEP노동및자본국산!D35</f>
        <v>51310.528945896323</v>
      </c>
      <c r="AD8" s="37">
        <f>PEP노동및자본국산!E35</f>
        <v>282153.4003126772</v>
      </c>
      <c r="AE8" s="37">
        <f>PEP노동및자본국산!F35</f>
        <v>25616.742801085638</v>
      </c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48">
        <f t="shared" ref="AS8:AS44" si="0">SUM(G8:AR8)</f>
        <v>438362.43286581413</v>
      </c>
      <c r="AT8" s="27"/>
    </row>
    <row r="9" spans="1:46" x14ac:dyDescent="0.3">
      <c r="A9" s="122"/>
      <c r="B9" s="123" t="s">
        <v>133</v>
      </c>
      <c r="C9" s="27" t="s">
        <v>96</v>
      </c>
      <c r="D9" s="26" t="s">
        <v>134</v>
      </c>
      <c r="E9" s="27" t="s">
        <v>104</v>
      </c>
      <c r="F9" s="27" t="s">
        <v>104</v>
      </c>
      <c r="G9" s="27">
        <v>0</v>
      </c>
      <c r="H9" s="27"/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/>
      <c r="P9" s="27">
        <v>0</v>
      </c>
      <c r="Q9" s="27">
        <v>0</v>
      </c>
      <c r="R9" s="27"/>
      <c r="S9" s="27"/>
      <c r="T9" s="27"/>
      <c r="U9" s="27"/>
      <c r="V9" s="27"/>
      <c r="W9" s="27"/>
      <c r="X9" s="27"/>
      <c r="Y9" s="27"/>
      <c r="Z9" s="27">
        <v>0</v>
      </c>
      <c r="AA9" s="37">
        <f>PEP노동및자본국산!B26</f>
        <v>25063.703814270408</v>
      </c>
      <c r="AB9" s="37">
        <f>PEP노동및자본국산!C26</f>
        <v>263924.50112848327</v>
      </c>
      <c r="AC9" s="37">
        <f>PEP노동및자본국산!D26</f>
        <v>42069.361243727923</v>
      </c>
      <c r="AD9" s="37">
        <f>PEP노동및자본국산!E26</f>
        <v>448974.62781661842</v>
      </c>
      <c r="AE9" s="38">
        <v>0</v>
      </c>
      <c r="AF9" s="27">
        <v>0</v>
      </c>
      <c r="AG9" s="27">
        <v>0</v>
      </c>
      <c r="AH9" s="27"/>
      <c r="AI9" s="27">
        <v>0</v>
      </c>
      <c r="AJ9" s="27">
        <v>0</v>
      </c>
      <c r="AK9" s="27">
        <v>0</v>
      </c>
      <c r="AL9" s="27">
        <v>0</v>
      </c>
      <c r="AM9" s="27"/>
      <c r="AN9" s="27">
        <v>0</v>
      </c>
      <c r="AO9" s="27"/>
      <c r="AP9" s="27">
        <v>0</v>
      </c>
      <c r="AQ9" s="27"/>
      <c r="AR9" s="27"/>
      <c r="AS9" s="48">
        <f t="shared" si="0"/>
        <v>780032.19400310004</v>
      </c>
      <c r="AT9" s="27"/>
    </row>
    <row r="10" spans="1:46" x14ac:dyDescent="0.3">
      <c r="A10" s="122"/>
      <c r="B10" s="124"/>
      <c r="C10" s="27" t="s">
        <v>96</v>
      </c>
      <c r="D10" s="33" t="s">
        <v>135</v>
      </c>
      <c r="E10" s="27" t="s">
        <v>105</v>
      </c>
      <c r="F10" s="35" t="s">
        <v>169</v>
      </c>
      <c r="G10" s="27">
        <v>0</v>
      </c>
      <c r="H10" s="27"/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/>
      <c r="P10" s="27">
        <v>0</v>
      </c>
      <c r="Q10" s="27">
        <v>0</v>
      </c>
      <c r="R10" s="27"/>
      <c r="S10" s="27"/>
      <c r="T10" s="27"/>
      <c r="U10" s="27"/>
      <c r="V10" s="27"/>
      <c r="W10" s="27"/>
      <c r="X10" s="27"/>
      <c r="Y10" s="27"/>
      <c r="Z10" s="27">
        <v>0</v>
      </c>
      <c r="AA10" s="38">
        <v>0</v>
      </c>
      <c r="AB10" s="38">
        <v>0</v>
      </c>
      <c r="AC10" s="38">
        <v>0</v>
      </c>
      <c r="AD10" s="38">
        <v>0</v>
      </c>
      <c r="AE10" s="37">
        <f>PEP노동및자본국산!F27</f>
        <v>46640.817996900005</v>
      </c>
      <c r="AF10" s="27">
        <v>0</v>
      </c>
      <c r="AG10" s="27">
        <v>0</v>
      </c>
      <c r="AH10" s="27"/>
      <c r="AI10" s="27">
        <v>0</v>
      </c>
      <c r="AJ10" s="27">
        <v>0</v>
      </c>
      <c r="AK10" s="27">
        <v>0</v>
      </c>
      <c r="AL10" s="27">
        <v>0</v>
      </c>
      <c r="AM10" s="27"/>
      <c r="AN10" s="27">
        <v>0</v>
      </c>
      <c r="AO10" s="27"/>
      <c r="AP10" s="27">
        <v>0</v>
      </c>
      <c r="AQ10" s="27"/>
      <c r="AR10" s="27"/>
      <c r="AS10" s="48">
        <f t="shared" si="0"/>
        <v>46640.817996900005</v>
      </c>
      <c r="AT10" s="27"/>
    </row>
    <row r="11" spans="1:46" x14ac:dyDescent="0.3">
      <c r="A11" s="122"/>
      <c r="B11" s="123" t="s">
        <v>136</v>
      </c>
      <c r="C11" s="27" t="s">
        <v>97</v>
      </c>
      <c r="D11" s="26" t="s">
        <v>137</v>
      </c>
      <c r="E11" s="27" t="s">
        <v>106</v>
      </c>
      <c r="F11" s="35" t="s">
        <v>138</v>
      </c>
      <c r="G11" s="19">
        <f>PEP노동및자본국산!B40</f>
        <v>6991.4373944974213</v>
      </c>
      <c r="H11" s="19">
        <f>PEP노동및자본국산!C40</f>
        <v>6396.5805496879275</v>
      </c>
      <c r="I11" s="19">
        <f>PEP노동및자본국산!D40</f>
        <v>6381.5509118734826</v>
      </c>
      <c r="J11" s="19">
        <f>PEP노동및자본!E40</f>
        <v>0</v>
      </c>
      <c r="K11" s="27">
        <v>0</v>
      </c>
      <c r="L11" s="27">
        <v>0</v>
      </c>
      <c r="M11" s="27">
        <v>0</v>
      </c>
      <c r="N11" s="27">
        <v>0</v>
      </c>
      <c r="O11" s="27"/>
      <c r="P11" s="27">
        <v>0</v>
      </c>
      <c r="Q11" s="27">
        <v>0</v>
      </c>
      <c r="R11" s="27"/>
      <c r="S11" s="27"/>
      <c r="T11" s="27"/>
      <c r="U11" s="27"/>
      <c r="V11" s="27"/>
      <c r="W11" s="27"/>
      <c r="X11" s="27"/>
      <c r="Y11" s="27"/>
      <c r="Z11" s="27">
        <v>0</v>
      </c>
      <c r="AA11" s="27">
        <v>0</v>
      </c>
      <c r="AB11" s="27">
        <v>0</v>
      </c>
      <c r="AC11" s="27">
        <v>0</v>
      </c>
      <c r="AD11" s="27">
        <v>0</v>
      </c>
      <c r="AE11" s="27"/>
      <c r="AF11" s="27">
        <v>0</v>
      </c>
      <c r="AG11" s="27">
        <v>0</v>
      </c>
      <c r="AH11" s="27"/>
      <c r="AI11" s="27">
        <v>0</v>
      </c>
      <c r="AJ11" s="27">
        <v>0</v>
      </c>
      <c r="AK11" s="27">
        <v>0</v>
      </c>
      <c r="AL11" s="27">
        <v>0</v>
      </c>
      <c r="AM11" s="27"/>
      <c r="AN11" s="27">
        <v>0</v>
      </c>
      <c r="AO11" s="27"/>
      <c r="AP11" s="27">
        <v>0</v>
      </c>
      <c r="AQ11" s="27"/>
      <c r="AR11" s="27"/>
      <c r="AS11" s="48">
        <f t="shared" si="0"/>
        <v>19769.568856058831</v>
      </c>
      <c r="AT11" s="27"/>
    </row>
    <row r="12" spans="1:46" x14ac:dyDescent="0.3">
      <c r="A12" s="122"/>
      <c r="B12" s="124"/>
      <c r="C12" s="27" t="s">
        <v>97</v>
      </c>
      <c r="D12" s="26" t="s">
        <v>172</v>
      </c>
      <c r="E12" s="27" t="s">
        <v>107</v>
      </c>
      <c r="F12" s="35" t="s">
        <v>140</v>
      </c>
      <c r="G12" s="19">
        <f>PEP노동및자본국산!B41</f>
        <v>33710.462122419376</v>
      </c>
      <c r="H12" s="19">
        <f>PEP노동및자본국산!C41</f>
        <v>30842.253769299481</v>
      </c>
      <c r="I12" s="19">
        <f>PEP노동및자본국산!D41</f>
        <v>23421.294184415241</v>
      </c>
      <c r="J12" s="19">
        <f>PEP노동및자본!E41</f>
        <v>0</v>
      </c>
      <c r="K12" s="27">
        <v>0</v>
      </c>
      <c r="L12" s="27">
        <v>0</v>
      </c>
      <c r="M12" s="27">
        <v>0</v>
      </c>
      <c r="N12" s="27">
        <v>0</v>
      </c>
      <c r="O12" s="27"/>
      <c r="P12" s="27">
        <v>0</v>
      </c>
      <c r="Q12" s="43">
        <v>0</v>
      </c>
      <c r="R12" s="27"/>
      <c r="S12" s="27"/>
      <c r="T12" s="27"/>
      <c r="U12" s="27"/>
      <c r="V12" s="27"/>
      <c r="W12" s="27"/>
      <c r="X12" s="27"/>
      <c r="Y12" s="27"/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/>
      <c r="AF12" s="27">
        <v>0</v>
      </c>
      <c r="AG12" s="27">
        <v>0</v>
      </c>
      <c r="AH12" s="27"/>
      <c r="AI12" s="27">
        <v>0</v>
      </c>
      <c r="AJ12" s="27">
        <v>0</v>
      </c>
      <c r="AK12" s="27">
        <v>0</v>
      </c>
      <c r="AL12" s="27">
        <v>0</v>
      </c>
      <c r="AM12" s="27"/>
      <c r="AN12" s="27">
        <v>0</v>
      </c>
      <c r="AO12" s="27"/>
      <c r="AP12" s="27">
        <v>0</v>
      </c>
      <c r="AQ12" s="27"/>
      <c r="AR12" s="27"/>
      <c r="AS12" s="48">
        <f t="shared" si="0"/>
        <v>87974.010076134102</v>
      </c>
      <c r="AT12" s="27"/>
    </row>
    <row r="13" spans="1:46" x14ac:dyDescent="0.3">
      <c r="A13" s="122"/>
      <c r="B13" s="124"/>
      <c r="C13" s="27" t="s">
        <v>97</v>
      </c>
      <c r="D13" s="26" t="s">
        <v>139</v>
      </c>
      <c r="E13" s="27" t="s">
        <v>108</v>
      </c>
      <c r="F13" s="35" t="s">
        <v>141</v>
      </c>
      <c r="G13" s="19">
        <f>PEP노동및자본국산!B42</f>
        <v>68398.747656656589</v>
      </c>
      <c r="H13" s="19">
        <f>PEP노동및자본국산!C42</f>
        <v>62579.134188904965</v>
      </c>
      <c r="I13" s="19">
        <f>PEP노동및자본국산!D42</f>
        <v>42900.059533222782</v>
      </c>
      <c r="J13" s="19">
        <f>PEP노동및자본!E42</f>
        <v>0</v>
      </c>
      <c r="K13" s="27">
        <v>0</v>
      </c>
      <c r="L13" s="27">
        <v>0</v>
      </c>
      <c r="M13" s="27">
        <v>0</v>
      </c>
      <c r="N13" s="27">
        <v>0</v>
      </c>
      <c r="O13" s="27"/>
      <c r="P13" s="27">
        <v>0</v>
      </c>
      <c r="Q13" s="27">
        <v>0</v>
      </c>
      <c r="R13" s="27"/>
      <c r="S13" s="27"/>
      <c r="T13" s="27"/>
      <c r="U13" s="27"/>
      <c r="V13" s="27"/>
      <c r="W13" s="27"/>
      <c r="X13" s="27"/>
      <c r="Y13" s="27"/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/>
      <c r="AF13" s="27">
        <v>0</v>
      </c>
      <c r="AG13" s="27">
        <v>0</v>
      </c>
      <c r="AH13" s="27"/>
      <c r="AI13" s="27">
        <v>0</v>
      </c>
      <c r="AJ13" s="27">
        <v>0</v>
      </c>
      <c r="AK13" s="27">
        <v>0</v>
      </c>
      <c r="AL13" s="27">
        <v>0</v>
      </c>
      <c r="AM13" s="27"/>
      <c r="AN13" s="27">
        <v>0</v>
      </c>
      <c r="AO13" s="27"/>
      <c r="AP13" s="27">
        <v>0</v>
      </c>
      <c r="AQ13" s="27"/>
      <c r="AR13" s="27"/>
      <c r="AS13" s="48">
        <f t="shared" si="0"/>
        <v>173877.94137878434</v>
      </c>
      <c r="AT13" s="27"/>
    </row>
    <row r="14" spans="1:46" x14ac:dyDescent="0.3">
      <c r="A14" s="122"/>
      <c r="B14" s="124"/>
      <c r="C14" s="27" t="s">
        <v>97</v>
      </c>
      <c r="D14" s="26" t="s">
        <v>142</v>
      </c>
      <c r="E14" s="27" t="s">
        <v>109</v>
      </c>
      <c r="F14" s="35" t="s">
        <v>143</v>
      </c>
      <c r="G14" s="19">
        <f>PEP노동및자본국산!B43</f>
        <v>117509.92851520667</v>
      </c>
      <c r="H14" s="19">
        <f>PEP노동및자본국산!C43</f>
        <v>107511.75770052403</v>
      </c>
      <c r="I14" s="19">
        <f>PEP노동및자본국산!D43</f>
        <v>61242.841997194206</v>
      </c>
      <c r="J14" s="19">
        <f>PEP노동및자본!E43</f>
        <v>0</v>
      </c>
      <c r="K14" s="27">
        <v>0</v>
      </c>
      <c r="L14" s="27">
        <v>0</v>
      </c>
      <c r="M14" s="27">
        <v>0</v>
      </c>
      <c r="N14" s="27">
        <v>0</v>
      </c>
      <c r="O14" s="27"/>
      <c r="P14" s="43">
        <v>0</v>
      </c>
      <c r="Q14" s="27">
        <v>0</v>
      </c>
      <c r="R14" s="27"/>
      <c r="S14" s="27"/>
      <c r="T14" s="27"/>
      <c r="U14" s="27"/>
      <c r="V14" s="27"/>
      <c r="W14" s="27"/>
      <c r="X14" s="27"/>
      <c r="Y14" s="27"/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/>
      <c r="AF14" s="27">
        <v>0</v>
      </c>
      <c r="AG14" s="27">
        <v>0</v>
      </c>
      <c r="AH14" s="27"/>
      <c r="AI14" s="27">
        <v>0</v>
      </c>
      <c r="AJ14" s="27">
        <v>0</v>
      </c>
      <c r="AK14" s="27">
        <v>0</v>
      </c>
      <c r="AL14" s="27">
        <v>0</v>
      </c>
      <c r="AM14" s="27"/>
      <c r="AN14" s="27">
        <v>0</v>
      </c>
      <c r="AO14" s="27"/>
      <c r="AP14" s="27">
        <v>0</v>
      </c>
      <c r="AQ14" s="27"/>
      <c r="AR14" s="27"/>
      <c r="AS14" s="48">
        <f t="shared" si="0"/>
        <v>286264.5282129249</v>
      </c>
      <c r="AT14" s="27"/>
    </row>
    <row r="15" spans="1:46" x14ac:dyDescent="0.3">
      <c r="A15" s="122"/>
      <c r="B15" s="124"/>
      <c r="C15" s="27" t="s">
        <v>97</v>
      </c>
      <c r="D15" s="26" t="s">
        <v>144</v>
      </c>
      <c r="E15" s="27"/>
      <c r="F15" s="35" t="s">
        <v>145</v>
      </c>
      <c r="G15" s="19">
        <f>PEP노동및자본국산!B44</f>
        <v>236706.60241579902</v>
      </c>
      <c r="H15" s="19">
        <f>PEP노동및자본국산!C44</f>
        <v>216566.74637282587</v>
      </c>
      <c r="I15" s="19">
        <f>PEP노동및자본국산!D44</f>
        <v>128031.95337329418</v>
      </c>
      <c r="J15" s="19">
        <f>PEP노동및자본!E44</f>
        <v>0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48">
        <f t="shared" si="0"/>
        <v>581305.30216191907</v>
      </c>
      <c r="AT15" s="27"/>
    </row>
    <row r="16" spans="1:46" x14ac:dyDescent="0.3">
      <c r="A16" s="122"/>
      <c r="B16" s="124"/>
      <c r="C16" s="27" t="s">
        <v>97</v>
      </c>
      <c r="D16" s="33" t="s">
        <v>146</v>
      </c>
      <c r="E16" s="27" t="s">
        <v>110</v>
      </c>
      <c r="F16" s="27" t="s">
        <v>110</v>
      </c>
      <c r="G16" s="19"/>
      <c r="H16" s="27"/>
      <c r="I16" s="42">
        <v>518054</v>
      </c>
      <c r="J16" s="42">
        <v>46641</v>
      </c>
      <c r="K16" s="27">
        <v>0</v>
      </c>
      <c r="L16" s="27">
        <v>0</v>
      </c>
      <c r="M16" s="43">
        <v>0</v>
      </c>
      <c r="N16" s="27">
        <v>0</v>
      </c>
      <c r="O16" s="27"/>
      <c r="P16" s="27">
        <v>0</v>
      </c>
      <c r="Q16" s="43">
        <v>0</v>
      </c>
      <c r="R16" s="27"/>
      <c r="S16" s="27"/>
      <c r="T16" s="27"/>
      <c r="U16" s="27"/>
      <c r="V16" s="27"/>
      <c r="W16" s="27"/>
      <c r="X16" s="27"/>
      <c r="Y16" s="27"/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/>
      <c r="AF16" s="27">
        <v>0</v>
      </c>
      <c r="AG16" s="27">
        <v>0</v>
      </c>
      <c r="AH16" s="27"/>
      <c r="AI16" s="27">
        <v>0</v>
      </c>
      <c r="AJ16" s="27">
        <v>0</v>
      </c>
      <c r="AK16" s="27">
        <v>0</v>
      </c>
      <c r="AL16" s="27">
        <v>0</v>
      </c>
      <c r="AM16" s="27"/>
      <c r="AN16" s="27">
        <v>0</v>
      </c>
      <c r="AO16" s="27"/>
      <c r="AP16" s="27">
        <v>0</v>
      </c>
      <c r="AQ16" s="27"/>
      <c r="AR16" s="27"/>
      <c r="AS16" s="48">
        <f t="shared" si="0"/>
        <v>564695</v>
      </c>
      <c r="AT16" s="27"/>
    </row>
    <row r="17" spans="1:46" x14ac:dyDescent="0.3">
      <c r="A17" s="122"/>
      <c r="B17" s="124"/>
      <c r="C17" s="27" t="s">
        <v>97</v>
      </c>
      <c r="D17" s="33" t="s">
        <v>147</v>
      </c>
      <c r="E17" s="27" t="s">
        <v>111</v>
      </c>
      <c r="F17" s="27" t="s">
        <v>111</v>
      </c>
      <c r="G17" s="19">
        <f>PEP노동및자본!B46</f>
        <v>0</v>
      </c>
      <c r="H17" s="27"/>
      <c r="I17" s="27">
        <v>0</v>
      </c>
      <c r="J17" s="27">
        <v>0</v>
      </c>
      <c r="K17" s="43">
        <v>0</v>
      </c>
      <c r="L17" s="43">
        <v>0</v>
      </c>
      <c r="M17" s="27"/>
      <c r="N17" s="27">
        <v>0</v>
      </c>
      <c r="O17" s="27"/>
      <c r="P17" s="45">
        <v>98638</v>
      </c>
      <c r="Q17" s="27">
        <v>0</v>
      </c>
      <c r="R17" s="46">
        <v>96356</v>
      </c>
      <c r="S17" s="46">
        <v>72174</v>
      </c>
      <c r="T17" s="46">
        <v>160659</v>
      </c>
      <c r="U17" s="46">
        <v>23757</v>
      </c>
      <c r="V17" s="57">
        <f>AS22</f>
        <v>15811</v>
      </c>
      <c r="W17" s="57">
        <f>AS23</f>
        <v>14466</v>
      </c>
      <c r="X17" s="57">
        <f>AS24</f>
        <v>23401</v>
      </c>
      <c r="Y17" s="57">
        <f>AS25</f>
        <v>1399</v>
      </c>
      <c r="Z17" s="27">
        <v>0</v>
      </c>
      <c r="AA17" s="43">
        <v>0</v>
      </c>
      <c r="AB17" s="43">
        <v>0</v>
      </c>
      <c r="AC17" s="27">
        <v>0</v>
      </c>
      <c r="AD17" s="27">
        <v>0</v>
      </c>
      <c r="AE17" s="27"/>
      <c r="AF17" s="27"/>
      <c r="AG17" s="27"/>
      <c r="AH17" s="27"/>
      <c r="AI17" s="27"/>
      <c r="AJ17" s="27">
        <v>0</v>
      </c>
      <c r="AK17" s="27">
        <v>99</v>
      </c>
      <c r="AL17" s="27">
        <v>0</v>
      </c>
      <c r="AM17" s="27"/>
      <c r="AN17" s="27">
        <v>0</v>
      </c>
      <c r="AO17" s="27"/>
      <c r="AP17" s="27">
        <v>0</v>
      </c>
      <c r="AQ17" s="27"/>
      <c r="AR17" s="27"/>
      <c r="AS17" s="48">
        <f t="shared" si="0"/>
        <v>506760</v>
      </c>
      <c r="AT17" s="27"/>
    </row>
    <row r="18" spans="1:46" x14ac:dyDescent="0.3">
      <c r="A18" s="122"/>
      <c r="B18" s="124"/>
      <c r="C18" s="27" t="s">
        <v>97</v>
      </c>
      <c r="D18" s="33" t="s">
        <v>148</v>
      </c>
      <c r="E18" s="27" t="s">
        <v>112</v>
      </c>
      <c r="F18" s="27" t="s">
        <v>112</v>
      </c>
      <c r="G18" s="27"/>
      <c r="H18" s="27"/>
      <c r="I18" s="27"/>
      <c r="J18" s="27"/>
      <c r="K18" s="19">
        <f>PEP노동및자본국산!B49</f>
        <v>1454.0033720255344</v>
      </c>
      <c r="L18" s="19">
        <f>PEP노동및자본국산!C49</f>
        <v>7010.7365385426974</v>
      </c>
      <c r="M18" s="19">
        <f>PEP노동및자본국산!D49</f>
        <v>14224.830192054003</v>
      </c>
      <c r="N18" s="19">
        <f>PEP노동및자본국산!E49</f>
        <v>24438.44129135225</v>
      </c>
      <c r="O18" s="19">
        <f>PEP노동및자본국산!F49</f>
        <v>49227.673606025332</v>
      </c>
      <c r="P18" s="43">
        <v>0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48">
        <f t="shared" si="0"/>
        <v>96355.684999999823</v>
      </c>
      <c r="AT18" s="27"/>
    </row>
    <row r="19" spans="1:46" x14ac:dyDescent="0.3">
      <c r="A19" s="122"/>
      <c r="B19" s="124"/>
      <c r="C19" s="27" t="s">
        <v>97</v>
      </c>
      <c r="D19" s="33" t="s">
        <v>149</v>
      </c>
      <c r="E19" s="38" t="s">
        <v>183</v>
      </c>
      <c r="F19" s="51" t="s">
        <v>183</v>
      </c>
      <c r="G19" s="27"/>
      <c r="H19" s="27"/>
      <c r="I19" s="27"/>
      <c r="J19" s="27"/>
      <c r="K19" s="27"/>
      <c r="L19" s="27"/>
      <c r="M19" s="27"/>
      <c r="N19" s="27"/>
      <c r="O19" s="27"/>
      <c r="P19" s="45">
        <v>72174</v>
      </c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43">
        <v>0</v>
      </c>
      <c r="AG19" s="43">
        <v>0</v>
      </c>
      <c r="AH19" s="43">
        <v>0</v>
      </c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48">
        <f t="shared" si="0"/>
        <v>72174</v>
      </c>
      <c r="AT19" s="27"/>
    </row>
    <row r="20" spans="1:46" x14ac:dyDescent="0.3">
      <c r="A20" s="122"/>
      <c r="B20" s="124"/>
      <c r="C20" s="27" t="s">
        <v>97</v>
      </c>
      <c r="D20" s="33" t="s">
        <v>150</v>
      </c>
      <c r="E20" s="27" t="s">
        <v>114</v>
      </c>
      <c r="F20" s="27" t="s">
        <v>114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19">
        <f>PEP수출입국산!L13</f>
        <v>0</v>
      </c>
      <c r="AB20" s="19">
        <f>PEP수출입국산!M13</f>
        <v>64554.361604004778</v>
      </c>
      <c r="AC20" s="19">
        <f>PEP수출입국산!N13</f>
        <v>35648.784396039591</v>
      </c>
      <c r="AD20" s="19">
        <f>PEP수출입국산!O13</f>
        <v>56486.428805789663</v>
      </c>
      <c r="AE20" s="19">
        <f>PEP수출입국산!P13</f>
        <v>3969.5531941660074</v>
      </c>
      <c r="AF20" s="46"/>
      <c r="AG20" s="46"/>
      <c r="AH20" s="46"/>
      <c r="AI20" s="46"/>
      <c r="AJ20" s="46"/>
      <c r="AK20" s="27"/>
      <c r="AL20" s="27"/>
      <c r="AM20" s="27"/>
      <c r="AN20" s="27"/>
      <c r="AO20" s="27"/>
      <c r="AP20" s="27"/>
      <c r="AQ20" s="27"/>
      <c r="AR20" s="27"/>
      <c r="AS20" s="48">
        <f t="shared" si="0"/>
        <v>160659.12800000006</v>
      </c>
      <c r="AT20" s="27"/>
    </row>
    <row r="21" spans="1:46" x14ac:dyDescent="0.3">
      <c r="A21" s="122"/>
      <c r="B21" s="124"/>
      <c r="C21" s="27" t="s">
        <v>97</v>
      </c>
      <c r="D21" s="33" t="s">
        <v>41</v>
      </c>
      <c r="E21" s="27" t="s">
        <v>113</v>
      </c>
      <c r="F21" s="27" t="s">
        <v>113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45"/>
      <c r="AB21" s="45"/>
      <c r="AC21" s="38"/>
      <c r="AD21" s="38"/>
      <c r="AE21" s="38"/>
      <c r="AF21" s="46">
        <f>PEP수출입국산!L12</f>
        <v>6601.4076691779346</v>
      </c>
      <c r="AG21" s="46">
        <f>PEP수출입국산!M12</f>
        <v>16869.574166049981</v>
      </c>
      <c r="AH21" s="38">
        <v>0</v>
      </c>
      <c r="AI21" s="46">
        <f>PEP수출입국산!O12</f>
        <v>0.892370103671425</v>
      </c>
      <c r="AJ21" s="46">
        <f>PEP수출입국산!P12</f>
        <v>285.28179466841294</v>
      </c>
      <c r="AK21" s="27"/>
      <c r="AL21" s="27"/>
      <c r="AM21" s="27"/>
      <c r="AN21" s="27"/>
      <c r="AO21" s="27"/>
      <c r="AP21" s="27"/>
      <c r="AQ21" s="27"/>
      <c r="AR21" s="27"/>
      <c r="AS21" s="48">
        <f t="shared" si="0"/>
        <v>23757.155999999999</v>
      </c>
      <c r="AT21" s="27"/>
    </row>
    <row r="22" spans="1:46" x14ac:dyDescent="0.3">
      <c r="A22" s="122"/>
      <c r="B22" s="124"/>
      <c r="C22" s="27" t="s">
        <v>97</v>
      </c>
      <c r="D22" s="33" t="s">
        <v>131</v>
      </c>
      <c r="E22" s="29" t="s">
        <v>102</v>
      </c>
      <c r="F22" s="29" t="s">
        <v>102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46">
        <f>ROUND(0.033*AA7,0)</f>
        <v>198</v>
      </c>
      <c r="AB22" s="46">
        <f t="shared" ref="AB22:AE22" si="1">ROUND(0.033*AB7,0)</f>
        <v>3723</v>
      </c>
      <c r="AC22" s="46">
        <f t="shared" si="1"/>
        <v>1653</v>
      </c>
      <c r="AD22" s="46">
        <f t="shared" si="1"/>
        <v>9200</v>
      </c>
      <c r="AE22" s="46">
        <f t="shared" si="1"/>
        <v>1037</v>
      </c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48">
        <f t="shared" si="0"/>
        <v>15811</v>
      </c>
      <c r="AT22" s="27"/>
    </row>
    <row r="23" spans="1:46" x14ac:dyDescent="0.3">
      <c r="A23" s="122"/>
      <c r="B23" s="124"/>
      <c r="C23" s="27" t="s">
        <v>97</v>
      </c>
      <c r="D23" s="33" t="s">
        <v>132</v>
      </c>
      <c r="E23" s="29" t="s">
        <v>103</v>
      </c>
      <c r="F23" s="29" t="s">
        <v>103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46">
        <f>ROUND(0.033*AA8,0)</f>
        <v>176</v>
      </c>
      <c r="AB23" s="46">
        <f t="shared" ref="AB23:AE23" si="2">ROUND(0.033*AB8,0)</f>
        <v>2441</v>
      </c>
      <c r="AC23" s="46">
        <f t="shared" si="2"/>
        <v>1693</v>
      </c>
      <c r="AD23" s="46">
        <f t="shared" si="2"/>
        <v>9311</v>
      </c>
      <c r="AE23" s="46">
        <f t="shared" si="2"/>
        <v>845</v>
      </c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48">
        <f t="shared" si="0"/>
        <v>14466</v>
      </c>
      <c r="AT23" s="27"/>
    </row>
    <row r="24" spans="1:46" x14ac:dyDescent="0.3">
      <c r="A24" s="122"/>
      <c r="B24" s="124"/>
      <c r="C24" s="27" t="s">
        <v>97</v>
      </c>
      <c r="D24" s="26" t="s">
        <v>134</v>
      </c>
      <c r="E24" s="27" t="s">
        <v>104</v>
      </c>
      <c r="F24" s="27" t="s">
        <v>104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46">
        <f>ROUND(0.03*AA9,0)</f>
        <v>752</v>
      </c>
      <c r="AB24" s="46">
        <f t="shared" ref="AB24:AD24" si="3">ROUND(0.03*AB9,0)</f>
        <v>7918</v>
      </c>
      <c r="AC24" s="46">
        <f t="shared" si="3"/>
        <v>1262</v>
      </c>
      <c r="AD24" s="46">
        <f t="shared" si="3"/>
        <v>13469</v>
      </c>
      <c r="AE24" s="38">
        <v>0</v>
      </c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48">
        <f t="shared" si="0"/>
        <v>23401</v>
      </c>
      <c r="AT24" s="27"/>
    </row>
    <row r="25" spans="1:46" x14ac:dyDescent="0.3">
      <c r="A25" s="122"/>
      <c r="B25" s="124"/>
      <c r="C25" s="27" t="s">
        <v>97</v>
      </c>
      <c r="D25" s="33" t="s">
        <v>135</v>
      </c>
      <c r="E25" s="27" t="s">
        <v>105</v>
      </c>
      <c r="F25" s="35" t="s">
        <v>128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38">
        <v>0</v>
      </c>
      <c r="AB25" s="38">
        <v>0</v>
      </c>
      <c r="AC25" s="38">
        <v>0</v>
      </c>
      <c r="AD25" s="38">
        <v>0</v>
      </c>
      <c r="AE25" s="46">
        <f>ROUND(0.03*AE10,0)</f>
        <v>1399</v>
      </c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48">
        <f t="shared" si="0"/>
        <v>1399</v>
      </c>
      <c r="AT25" s="27"/>
    </row>
    <row r="26" spans="1:46" x14ac:dyDescent="0.3">
      <c r="A26" s="122"/>
      <c r="B26" s="124"/>
      <c r="C26" s="27" t="s">
        <v>97</v>
      </c>
      <c r="D26" s="33" t="s">
        <v>151</v>
      </c>
      <c r="E26" s="27" t="s">
        <v>115</v>
      </c>
      <c r="F26" s="27" t="s">
        <v>115</v>
      </c>
      <c r="G26" s="27">
        <v>0</v>
      </c>
      <c r="H26" s="27"/>
      <c r="I26" s="43">
        <v>0</v>
      </c>
      <c r="J26" s="43">
        <v>0</v>
      </c>
      <c r="K26" s="27">
        <v>0</v>
      </c>
      <c r="L26" s="27">
        <v>0</v>
      </c>
      <c r="M26" s="27">
        <v>0</v>
      </c>
      <c r="N26" s="27">
        <v>10</v>
      </c>
      <c r="O26" s="27"/>
      <c r="P26" s="43">
        <v>0</v>
      </c>
      <c r="Q26" s="43">
        <v>0</v>
      </c>
      <c r="R26" s="27"/>
      <c r="S26" s="27"/>
      <c r="T26" s="27"/>
      <c r="U26" s="27"/>
      <c r="V26" s="27"/>
      <c r="W26" s="27"/>
      <c r="X26" s="27"/>
      <c r="Y26" s="27"/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/>
      <c r="AF26" s="46">
        <f>PEP수출입국산!L11</f>
        <v>152385.20696914167</v>
      </c>
      <c r="AG26" s="46">
        <f>PEP수출입국산!M11</f>
        <v>429277.15096248733</v>
      </c>
      <c r="AH26" s="46">
        <f>PEP수출입국산!N11</f>
        <v>235.50622415553545</v>
      </c>
      <c r="AI26" s="46">
        <f>PEP수출입국산!O11</f>
        <v>109082.2442613686</v>
      </c>
      <c r="AJ26" s="46">
        <f>PEP수출입국산!P11</f>
        <v>23167.530581639254</v>
      </c>
      <c r="AK26" s="27">
        <v>0</v>
      </c>
      <c r="AL26" s="27">
        <v>0</v>
      </c>
      <c r="AM26" s="27"/>
      <c r="AN26" s="27">
        <v>0</v>
      </c>
      <c r="AO26" s="27"/>
      <c r="AP26" s="45">
        <f>미시사회행렬국산!AC48</f>
        <v>0</v>
      </c>
      <c r="AQ26" s="27"/>
      <c r="AR26" s="27"/>
      <c r="AS26" s="48">
        <f t="shared" si="0"/>
        <v>714157.63899879251</v>
      </c>
      <c r="AT26" s="27"/>
    </row>
    <row r="27" spans="1:46" x14ac:dyDescent="0.3">
      <c r="A27" s="122"/>
      <c r="B27" s="123" t="s">
        <v>152</v>
      </c>
      <c r="C27" s="27" t="s">
        <v>98</v>
      </c>
      <c r="D27" s="33" t="s">
        <v>153</v>
      </c>
      <c r="E27" s="27" t="s">
        <v>116</v>
      </c>
      <c r="F27" s="27" t="s">
        <v>116</v>
      </c>
      <c r="G27" s="27">
        <v>0</v>
      </c>
      <c r="H27" s="27"/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/>
      <c r="P27" s="27">
        <v>0</v>
      </c>
      <c r="Q27" s="27">
        <v>0</v>
      </c>
      <c r="R27" s="27"/>
      <c r="S27" s="27"/>
      <c r="T27" s="27"/>
      <c r="U27" s="27"/>
      <c r="V27" s="27"/>
      <c r="W27" s="27"/>
      <c r="X27" s="27"/>
      <c r="Y27" s="27"/>
      <c r="Z27" s="27">
        <v>0</v>
      </c>
      <c r="AA27" s="27">
        <v>0</v>
      </c>
      <c r="AB27" s="27">
        <v>0</v>
      </c>
      <c r="AC27" s="27">
        <v>0</v>
      </c>
      <c r="AD27" s="27">
        <v>0</v>
      </c>
      <c r="AE27" s="27"/>
      <c r="AF27" s="45">
        <f>PEP수출입국산!L40</f>
        <v>60205.197394762799</v>
      </c>
      <c r="AG27" s="27"/>
      <c r="AH27" s="27"/>
      <c r="AI27" s="27"/>
      <c r="AJ27" s="27"/>
      <c r="AK27" s="46">
        <f>PEP수출입국산!B31</f>
        <v>3828.8519669175562</v>
      </c>
      <c r="AL27" s="27"/>
      <c r="AM27" s="27"/>
      <c r="AN27" s="27"/>
      <c r="AO27" s="27"/>
      <c r="AP27" s="27">
        <v>0</v>
      </c>
      <c r="AQ27" s="27"/>
      <c r="AR27" s="27"/>
      <c r="AS27" s="48">
        <f t="shared" si="0"/>
        <v>64034.049361680358</v>
      </c>
      <c r="AT27" s="27"/>
    </row>
    <row r="28" spans="1:46" x14ac:dyDescent="0.3">
      <c r="A28" s="122"/>
      <c r="B28" s="124"/>
      <c r="C28" s="27" t="s">
        <v>98</v>
      </c>
      <c r="D28" s="33" t="s">
        <v>154</v>
      </c>
      <c r="E28" s="27" t="s">
        <v>117</v>
      </c>
      <c r="F28" s="27" t="s">
        <v>117</v>
      </c>
      <c r="G28" s="27">
        <v>0</v>
      </c>
      <c r="H28" s="27"/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/>
      <c r="P28" s="27">
        <v>0</v>
      </c>
      <c r="Q28" s="27">
        <v>0</v>
      </c>
      <c r="R28" s="27"/>
      <c r="S28" s="27"/>
      <c r="T28" s="27"/>
      <c r="U28" s="27"/>
      <c r="V28" s="27"/>
      <c r="W28" s="27"/>
      <c r="X28" s="27"/>
      <c r="Y28" s="27"/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/>
      <c r="AF28" s="27"/>
      <c r="AG28" s="45">
        <f>PEP수출입국산!M41</f>
        <v>869580.71660918626</v>
      </c>
      <c r="AH28" s="27"/>
      <c r="AI28" s="27"/>
      <c r="AJ28" s="27"/>
      <c r="AK28" s="27"/>
      <c r="AL28" s="46">
        <f>PEP수출입국산!C32</f>
        <v>618894.43178437673</v>
      </c>
      <c r="AM28" s="27"/>
      <c r="AN28" s="27"/>
      <c r="AO28" s="27"/>
      <c r="AP28" s="27">
        <v>0</v>
      </c>
      <c r="AQ28" s="27"/>
      <c r="AR28" s="27"/>
      <c r="AS28" s="48">
        <f t="shared" si="0"/>
        <v>1488475.148393563</v>
      </c>
      <c r="AT28" s="27"/>
    </row>
    <row r="29" spans="1:46" x14ac:dyDescent="0.3">
      <c r="A29" s="122"/>
      <c r="B29" s="124"/>
      <c r="C29" s="27" t="s">
        <v>98</v>
      </c>
      <c r="D29" s="33" t="s">
        <v>192</v>
      </c>
      <c r="E29" s="29" t="s">
        <v>156</v>
      </c>
      <c r="F29" s="35" t="s">
        <v>125</v>
      </c>
      <c r="G29" s="27">
        <v>0</v>
      </c>
      <c r="H29" s="27"/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/>
      <c r="P29" s="27">
        <v>0</v>
      </c>
      <c r="Q29" s="27">
        <v>0</v>
      </c>
      <c r="R29" s="27"/>
      <c r="S29" s="27"/>
      <c r="T29" s="27"/>
      <c r="U29" s="27"/>
      <c r="V29" s="27"/>
      <c r="W29" s="27"/>
      <c r="X29" s="27"/>
      <c r="Y29" s="27"/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/>
      <c r="AF29" s="27"/>
      <c r="AG29" s="27"/>
      <c r="AH29" s="45">
        <f>PEP수출입국산!N42</f>
        <v>394910.18369085377</v>
      </c>
      <c r="AI29" s="27"/>
      <c r="AJ29" s="27"/>
      <c r="AK29" s="27"/>
      <c r="AL29" s="27"/>
      <c r="AM29" s="46">
        <f>PEP수출입국산!D33</f>
        <v>1279.7410849907826</v>
      </c>
      <c r="AN29" s="27"/>
      <c r="AO29" s="27"/>
      <c r="AP29" s="27">
        <v>0</v>
      </c>
      <c r="AQ29" s="27"/>
      <c r="AR29" s="27"/>
      <c r="AS29" s="48">
        <f t="shared" si="0"/>
        <v>396189.92477584456</v>
      </c>
      <c r="AT29" s="27"/>
    </row>
    <row r="30" spans="1:46" x14ac:dyDescent="0.3">
      <c r="A30" s="122"/>
      <c r="B30" s="124"/>
      <c r="C30" s="27" t="s">
        <v>98</v>
      </c>
      <c r="D30" s="33" t="s">
        <v>193</v>
      </c>
      <c r="E30" s="29" t="s">
        <v>155</v>
      </c>
      <c r="F30" s="53" t="s">
        <v>155</v>
      </c>
      <c r="G30" s="27">
        <v>0</v>
      </c>
      <c r="H30" s="27"/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/>
      <c r="P30" s="27">
        <v>0</v>
      </c>
      <c r="Q30" s="27">
        <v>0</v>
      </c>
      <c r="R30" s="27"/>
      <c r="S30" s="27"/>
      <c r="T30" s="27"/>
      <c r="U30" s="27"/>
      <c r="V30" s="27"/>
      <c r="W30" s="27"/>
      <c r="X30" s="27"/>
      <c r="Y30" s="27"/>
      <c r="Z30" s="27">
        <v>0</v>
      </c>
      <c r="AA30" s="27">
        <v>0</v>
      </c>
      <c r="AB30" s="27">
        <v>0</v>
      </c>
      <c r="AC30" s="27">
        <v>0</v>
      </c>
      <c r="AD30" s="27">
        <v>0</v>
      </c>
      <c r="AE30" s="27"/>
      <c r="AF30" s="27"/>
      <c r="AG30" s="27"/>
      <c r="AH30" s="27"/>
      <c r="AI30" s="45">
        <f>PEP수출입국산!O43</f>
        <v>1744389.9171603546</v>
      </c>
      <c r="AJ30" s="27"/>
      <c r="AK30" s="27">
        <v>0</v>
      </c>
      <c r="AL30" s="27">
        <v>0</v>
      </c>
      <c r="AM30" s="27"/>
      <c r="AN30" s="46">
        <f>PEP수출입국산!E34</f>
        <v>112039.09594657339</v>
      </c>
      <c r="AO30" s="41"/>
      <c r="AP30" s="27">
        <v>0</v>
      </c>
      <c r="AQ30" s="27"/>
      <c r="AR30" s="27"/>
      <c r="AS30" s="48">
        <f t="shared" si="0"/>
        <v>1856429.013106928</v>
      </c>
      <c r="AT30" s="27"/>
    </row>
    <row r="31" spans="1:46" x14ac:dyDescent="0.3">
      <c r="A31" s="122"/>
      <c r="B31" s="34"/>
      <c r="C31" s="27" t="s">
        <v>173</v>
      </c>
      <c r="D31" s="33" t="s">
        <v>171</v>
      </c>
      <c r="E31" s="35" t="s">
        <v>170</v>
      </c>
      <c r="F31" s="35" t="s">
        <v>170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45">
        <f>PEP수출입국산!P44</f>
        <v>166169.69098695085</v>
      </c>
      <c r="AK31" s="27"/>
      <c r="AL31" s="27"/>
      <c r="AM31" s="27"/>
      <c r="AN31" s="27"/>
      <c r="AO31" s="46">
        <f>PEP수출입국산!F35</f>
        <v>25560.886217141506</v>
      </c>
      <c r="AP31" s="27"/>
      <c r="AQ31" s="27"/>
      <c r="AR31" s="27"/>
      <c r="AS31" s="48">
        <f t="shared" si="0"/>
        <v>191730.57720409235</v>
      </c>
      <c r="AT31" s="27"/>
    </row>
    <row r="32" spans="1:46" x14ac:dyDescent="0.3">
      <c r="A32" s="122"/>
      <c r="B32" s="123" t="s">
        <v>157</v>
      </c>
      <c r="C32" s="27" t="s">
        <v>99</v>
      </c>
      <c r="D32" s="33" t="s">
        <v>158</v>
      </c>
      <c r="E32" s="27" t="s">
        <v>116</v>
      </c>
      <c r="F32" s="27" t="s">
        <v>116</v>
      </c>
      <c r="G32" s="27">
        <v>0</v>
      </c>
      <c r="H32" s="27"/>
      <c r="I32" s="27">
        <v>0</v>
      </c>
      <c r="J32" s="27">
        <v>0</v>
      </c>
      <c r="K32" s="23">
        <f>PEP상품및가계소비국산!B26</f>
        <v>295.63724430258821</v>
      </c>
      <c r="L32" s="23">
        <f>PEP상품및가계소비국산!C26</f>
        <v>1425.4676919345075</v>
      </c>
      <c r="M32" s="23">
        <f>PEP상품및가계소비국산!D26</f>
        <v>2892.2832502050414</v>
      </c>
      <c r="N32" s="23">
        <f>PEP상품및가계소비국산!E26</f>
        <v>4968.9798369319642</v>
      </c>
      <c r="O32" s="23">
        <f>PEP상품및가계소비국산!F26</f>
        <v>10009.284743293572</v>
      </c>
      <c r="P32" s="47">
        <f>Q32*X47/100</f>
        <v>0</v>
      </c>
      <c r="Q32" s="50">
        <f>PEP상품및가계소비국산!I26</f>
        <v>0</v>
      </c>
      <c r="R32" s="27"/>
      <c r="S32" s="27"/>
      <c r="T32" s="27"/>
      <c r="U32" s="27"/>
      <c r="V32" s="27"/>
      <c r="W32" s="27"/>
      <c r="X32" s="27"/>
      <c r="Y32" s="27"/>
      <c r="Z32" s="27">
        <v>0</v>
      </c>
      <c r="AA32" s="37">
        <f>PEP산업국산!B31</f>
        <v>4470.144889155782</v>
      </c>
      <c r="AB32" s="37">
        <f>PEP산업국산!C31</f>
        <v>120576.71969639783</v>
      </c>
      <c r="AC32" s="37">
        <f>PEP산업국산!D31</f>
        <v>19120.192390305638</v>
      </c>
      <c r="AD32" s="37">
        <f>PEP산업국산!E31</f>
        <v>12915.605019760216</v>
      </c>
      <c r="AE32" s="37">
        <f>PEP산업국산!F31</f>
        <v>204.64973639936423</v>
      </c>
      <c r="AF32" s="27">
        <v>0</v>
      </c>
      <c r="AG32" s="27">
        <v>0</v>
      </c>
      <c r="AH32" s="27"/>
      <c r="AI32" s="27">
        <v>0</v>
      </c>
      <c r="AJ32" s="27">
        <v>0</v>
      </c>
      <c r="AK32" s="27"/>
      <c r="AL32" s="27"/>
      <c r="AM32" s="27"/>
      <c r="AN32" s="27"/>
      <c r="AO32" s="27"/>
      <c r="AP32" s="45">
        <v>2374</v>
      </c>
      <c r="AQ32" s="27"/>
      <c r="AR32" s="27">
        <v>-600</v>
      </c>
      <c r="AS32" s="48">
        <f t="shared" si="0"/>
        <v>178652.96449868649</v>
      </c>
      <c r="AT32" s="27"/>
    </row>
    <row r="33" spans="1:46" x14ac:dyDescent="0.3">
      <c r="A33" s="122"/>
      <c r="B33" s="124"/>
      <c r="C33" s="27" t="s">
        <v>99</v>
      </c>
      <c r="D33" s="33" t="s">
        <v>159</v>
      </c>
      <c r="E33" s="29" t="s">
        <v>120</v>
      </c>
      <c r="F33" s="35" t="s">
        <v>129</v>
      </c>
      <c r="G33" s="27">
        <v>0</v>
      </c>
      <c r="H33" s="27"/>
      <c r="I33" s="27">
        <v>0</v>
      </c>
      <c r="J33" s="27">
        <v>0</v>
      </c>
      <c r="K33" s="23">
        <f>PEP상품및가계소비국산!B27</f>
        <v>3253.7497537307477</v>
      </c>
      <c r="L33" s="23">
        <f>PEP상품및가계소비국산!C27</f>
        <v>15688.534651729722</v>
      </c>
      <c r="M33" s="23">
        <f>PEP상품및가계소비국산!D27</f>
        <v>31832.139199086127</v>
      </c>
      <c r="N33" s="23">
        <f>PEP상품및가계소비국산!E27</f>
        <v>54688.024706936041</v>
      </c>
      <c r="O33" s="23">
        <f>PEP상품및가계소비국산!F27</f>
        <v>110161.04498382806</v>
      </c>
      <c r="P33" s="47">
        <f>Q33*X47/100</f>
        <v>0</v>
      </c>
      <c r="Q33" s="50">
        <f>PEP상품및가계소비국산!I27</f>
        <v>0</v>
      </c>
      <c r="R33" s="27"/>
      <c r="S33" s="27"/>
      <c r="T33" s="27"/>
      <c r="U33" s="27"/>
      <c r="V33" s="27"/>
      <c r="W33" s="27"/>
      <c r="X33" s="27"/>
      <c r="Y33" s="27"/>
      <c r="Z33" s="27">
        <v>0</v>
      </c>
      <c r="AA33" s="37">
        <f>PEP산업국산!B32</f>
        <v>17547.915333086585</v>
      </c>
      <c r="AB33" s="37">
        <f>PEP산업국산!C32</f>
        <v>587783.46752039006</v>
      </c>
      <c r="AC33" s="37">
        <f>PEP산업국산!D32</f>
        <v>112846.57170363708</v>
      </c>
      <c r="AD33" s="37">
        <f>PEP산업국산!E32</f>
        <v>218928.59736810415</v>
      </c>
      <c r="AE33" s="37">
        <f>PEP산업국산!F32</f>
        <v>18824.542192098954</v>
      </c>
      <c r="AF33" s="27"/>
      <c r="AG33" s="27">
        <v>0</v>
      </c>
      <c r="AH33" s="27"/>
      <c r="AI33" s="27">
        <v>0</v>
      </c>
      <c r="AJ33" s="27">
        <v>0</v>
      </c>
      <c r="AK33" s="27"/>
      <c r="AL33" s="27"/>
      <c r="AM33" s="27"/>
      <c r="AN33" s="27"/>
      <c r="AO33" s="27"/>
      <c r="AP33" s="45">
        <v>163216</v>
      </c>
      <c r="AQ33" s="27"/>
      <c r="AR33" s="27">
        <v>200</v>
      </c>
      <c r="AS33" s="48">
        <f t="shared" si="0"/>
        <v>1334970.5874126274</v>
      </c>
      <c r="AT33" s="27"/>
    </row>
    <row r="34" spans="1:46" x14ac:dyDescent="0.3">
      <c r="A34" s="122"/>
      <c r="B34" s="124"/>
      <c r="C34" s="27" t="s">
        <v>99</v>
      </c>
      <c r="D34" s="26" t="s">
        <v>160</v>
      </c>
      <c r="E34" s="29" t="s">
        <v>121</v>
      </c>
      <c r="F34" s="35" t="s">
        <v>127</v>
      </c>
      <c r="G34" s="27"/>
      <c r="H34" s="27"/>
      <c r="I34" s="27"/>
      <c r="J34" s="27"/>
      <c r="K34" s="23">
        <f>PEP상품및가계소비국산!B28</f>
        <v>332.45845388285665</v>
      </c>
      <c r="L34" s="23">
        <f>PEP상품및가계소비국산!C28</f>
        <v>1603.0077199456616</v>
      </c>
      <c r="M34" s="23">
        <f>PEP상품및가계소비국산!D28</f>
        <v>3252.5131257490657</v>
      </c>
      <c r="N34" s="23">
        <f>PEP상품및가계소비국산!E28</f>
        <v>5587.8593979541674</v>
      </c>
      <c r="O34" s="23">
        <f>PEP상품및가계소비국산!F28</f>
        <v>11255.927304012939</v>
      </c>
      <c r="P34" s="47">
        <f>Q34*X47/100</f>
        <v>0</v>
      </c>
      <c r="Q34" s="50">
        <f>PEP상품및가계소비국산!I28</f>
        <v>987.23033761918771</v>
      </c>
      <c r="R34" s="27"/>
      <c r="S34" s="27"/>
      <c r="T34" s="27"/>
      <c r="U34" s="27"/>
      <c r="V34" s="27"/>
      <c r="W34" s="27"/>
      <c r="X34" s="27"/>
      <c r="Y34" s="27"/>
      <c r="Z34" s="27"/>
      <c r="AA34" s="37">
        <f>PEP산업국산!B33</f>
        <v>1112.6240145987063</v>
      </c>
      <c r="AB34" s="37">
        <f>PEP산업국산!C33</f>
        <v>38214.031170564849</v>
      </c>
      <c r="AC34" s="37">
        <f>PEP산업국산!D33</f>
        <v>19356.87514895614</v>
      </c>
      <c r="AD34" s="37">
        <f>PEP산업국산!E33</f>
        <v>53220.524423663723</v>
      </c>
      <c r="AE34" s="37">
        <f>PEP산업국산!F33</f>
        <v>2743.1402896650748</v>
      </c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45">
        <v>260547</v>
      </c>
      <c r="AQ34" s="27"/>
      <c r="AR34" s="27"/>
      <c r="AS34" s="48">
        <f t="shared" si="0"/>
        <v>398213.19138661237</v>
      </c>
      <c r="AT34" s="27"/>
    </row>
    <row r="35" spans="1:46" x14ac:dyDescent="0.3">
      <c r="A35" s="122"/>
      <c r="B35" s="124"/>
      <c r="C35" s="27" t="s">
        <v>99</v>
      </c>
      <c r="D35" s="33" t="s">
        <v>161</v>
      </c>
      <c r="E35" s="27" t="s">
        <v>118</v>
      </c>
      <c r="F35" s="27" t="s">
        <v>118</v>
      </c>
      <c r="G35" s="27">
        <v>0</v>
      </c>
      <c r="H35" s="27"/>
      <c r="I35" s="27">
        <v>0</v>
      </c>
      <c r="J35" s="27">
        <v>0</v>
      </c>
      <c r="K35" s="23">
        <f>PEP상품및가계소비국산!B29</f>
        <v>9668.9705283457606</v>
      </c>
      <c r="L35" s="23">
        <f>PEP상품및가계소비국산!C29</f>
        <v>46620.66558947134</v>
      </c>
      <c r="M35" s="23">
        <f>PEP상품및가계소비국산!D29</f>
        <v>94593.634749340694</v>
      </c>
      <c r="N35" s="23">
        <f>PEP상품및가계소비국산!E29</f>
        <v>162513.0815725807</v>
      </c>
      <c r="O35" s="23">
        <f>PEP상품및가계소비국산!F29</f>
        <v>327358.88680409791</v>
      </c>
      <c r="P35" s="47">
        <f>Q35*X47/100</f>
        <v>0</v>
      </c>
      <c r="Q35" s="50">
        <f>PEP상품및가계소비국산!I29</f>
        <v>327643.90450160851</v>
      </c>
      <c r="R35" s="27"/>
      <c r="S35" s="27"/>
      <c r="T35" s="27"/>
      <c r="U35" s="27"/>
      <c r="V35" s="27"/>
      <c r="W35" s="27"/>
      <c r="X35" s="27"/>
      <c r="Y35" s="27"/>
      <c r="Z35" s="27">
        <v>0</v>
      </c>
      <c r="AA35" s="37">
        <f>PEP산업국산!B34</f>
        <v>7543.0275939790445</v>
      </c>
      <c r="AB35" s="37">
        <f>PEP산업국산!C34</f>
        <v>188798.97777226928</v>
      </c>
      <c r="AC35" s="37">
        <f>PEP산업국산!D34</f>
        <v>50876.045674310059</v>
      </c>
      <c r="AD35" s="37">
        <f>PEP산업국산!E34</f>
        <v>455037.25277527218</v>
      </c>
      <c r="AE35" s="37">
        <f>PEP산업국산!F34</f>
        <v>54513.315130947391</v>
      </c>
      <c r="AF35" s="27">
        <v>100</v>
      </c>
      <c r="AG35" s="27">
        <v>0</v>
      </c>
      <c r="AH35" s="27"/>
      <c r="AI35" s="27">
        <v>0</v>
      </c>
      <c r="AJ35" s="27">
        <v>0</v>
      </c>
      <c r="AK35" s="27">
        <v>60</v>
      </c>
      <c r="AL35" s="27"/>
      <c r="AM35" s="27">
        <v>20</v>
      </c>
      <c r="AN35" s="27"/>
      <c r="AO35" s="27"/>
      <c r="AP35" s="45">
        <v>139807</v>
      </c>
      <c r="AQ35" s="27"/>
      <c r="AR35" s="27"/>
      <c r="AS35" s="48">
        <f t="shared" si="0"/>
        <v>1865154.7626922228</v>
      </c>
      <c r="AT35" s="27"/>
    </row>
    <row r="36" spans="1:46" x14ac:dyDescent="0.3">
      <c r="A36" s="122"/>
      <c r="B36" s="124"/>
      <c r="C36" s="27" t="s">
        <v>99</v>
      </c>
      <c r="D36" s="33" t="s">
        <v>162</v>
      </c>
      <c r="E36" s="27" t="s">
        <v>119</v>
      </c>
      <c r="F36" s="35" t="s">
        <v>128</v>
      </c>
      <c r="G36" s="27">
        <v>0</v>
      </c>
      <c r="H36" s="27"/>
      <c r="I36" s="27">
        <v>0</v>
      </c>
      <c r="J36" s="27">
        <v>0</v>
      </c>
      <c r="K36" s="23">
        <f>PEP상품및가계소비국산!B30</f>
        <v>572.87028101493536</v>
      </c>
      <c r="L36" s="23">
        <f>PEP상품및가계소비국산!C30</f>
        <v>2762.1962151034818</v>
      </c>
      <c r="M36" s="23">
        <f>PEP상품및가계소비국산!D30</f>
        <v>5604.5141478314299</v>
      </c>
      <c r="N36" s="23">
        <f>PEP상품및가계소비국산!E30</f>
        <v>9628.6274155202609</v>
      </c>
      <c r="O36" s="23">
        <f>PEP상품및가계소비국산!F30</f>
        <v>19395.46479394272</v>
      </c>
      <c r="P36" s="47">
        <f>Q36*X47/100</f>
        <v>0</v>
      </c>
      <c r="Q36" s="50">
        <f>PEP상품및가계소비국산!I30</f>
        <v>0</v>
      </c>
      <c r="R36" s="27"/>
      <c r="S36" s="27"/>
      <c r="T36" s="27"/>
      <c r="U36" s="27"/>
      <c r="V36" s="27"/>
      <c r="W36" s="27"/>
      <c r="X36" s="27"/>
      <c r="Y36" s="27"/>
      <c r="Z36" s="27">
        <v>0</v>
      </c>
      <c r="AA36" s="37">
        <f>PEP산업국산!B35</f>
        <v>1058.8948997816035</v>
      </c>
      <c r="AB36" s="37">
        <f>PEP산업국산!C35</f>
        <v>37850.304714076927</v>
      </c>
      <c r="AC36" s="37">
        <f>PEP산업국산!D35</f>
        <v>14867.886815910917</v>
      </c>
      <c r="AD36" s="37">
        <f>PEP산업국산!E35</f>
        <v>49924.823194583696</v>
      </c>
      <c r="AE36" s="37">
        <f>PEP산업국산!F35</f>
        <v>7781.6793741925285</v>
      </c>
      <c r="AF36" s="27">
        <v>0</v>
      </c>
      <c r="AG36" s="27">
        <v>0</v>
      </c>
      <c r="AH36" s="27"/>
      <c r="AI36" s="27">
        <v>0</v>
      </c>
      <c r="AJ36" s="27">
        <v>0</v>
      </c>
      <c r="AK36" s="27"/>
      <c r="AL36" s="27"/>
      <c r="AM36" s="27"/>
      <c r="AN36" s="27"/>
      <c r="AO36" s="27"/>
      <c r="AP36" s="38">
        <v>0</v>
      </c>
      <c r="AQ36" s="45">
        <v>40175</v>
      </c>
      <c r="AR36" s="27"/>
      <c r="AS36" s="48">
        <f t="shared" si="0"/>
        <v>189622.26185195849</v>
      </c>
      <c r="AT36" s="27"/>
    </row>
    <row r="37" spans="1:46" x14ac:dyDescent="0.3">
      <c r="A37" s="122"/>
      <c r="B37" s="123" t="s">
        <v>163</v>
      </c>
      <c r="C37" s="27" t="s">
        <v>100</v>
      </c>
      <c r="D37" s="33" t="s">
        <v>158</v>
      </c>
      <c r="E37" s="27" t="s">
        <v>116</v>
      </c>
      <c r="F37" s="27" t="s">
        <v>116</v>
      </c>
      <c r="G37" s="27">
        <v>0</v>
      </c>
      <c r="H37" s="27"/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/>
      <c r="P37" s="27">
        <v>0</v>
      </c>
      <c r="Q37" s="27">
        <v>0</v>
      </c>
      <c r="R37" s="27"/>
      <c r="S37" s="27"/>
      <c r="T37" s="27"/>
      <c r="U37" s="27"/>
      <c r="V37" s="27"/>
      <c r="W37" s="27"/>
      <c r="X37" s="27"/>
      <c r="Y37" s="27"/>
      <c r="Z37" s="45">
        <f>PEP수출입국산!B31</f>
        <v>3828.8519669175562</v>
      </c>
      <c r="AA37" s="27">
        <v>0</v>
      </c>
      <c r="AB37" s="27">
        <v>0</v>
      </c>
      <c r="AC37" s="27">
        <v>0</v>
      </c>
      <c r="AD37" s="27">
        <v>0</v>
      </c>
      <c r="AE37" s="27"/>
      <c r="AF37" s="27">
        <v>0</v>
      </c>
      <c r="AG37" s="27">
        <v>0</v>
      </c>
      <c r="AH37" s="27"/>
      <c r="AI37" s="27">
        <v>0</v>
      </c>
      <c r="AJ37" s="27">
        <v>0</v>
      </c>
      <c r="AK37" s="27">
        <v>0</v>
      </c>
      <c r="AL37" s="27">
        <v>0</v>
      </c>
      <c r="AM37" s="27"/>
      <c r="AN37" s="27">
        <v>0</v>
      </c>
      <c r="AO37" s="27"/>
      <c r="AP37" s="27">
        <v>0</v>
      </c>
      <c r="AQ37" s="27"/>
      <c r="AR37" s="27"/>
      <c r="AS37" s="48">
        <f t="shared" si="0"/>
        <v>3828.8519669175562</v>
      </c>
      <c r="AT37" s="27"/>
    </row>
    <row r="38" spans="1:46" x14ac:dyDescent="0.3">
      <c r="A38" s="122"/>
      <c r="B38" s="124"/>
      <c r="C38" s="27" t="s">
        <v>100</v>
      </c>
      <c r="D38" s="33" t="s">
        <v>159</v>
      </c>
      <c r="E38" s="29" t="s">
        <v>120</v>
      </c>
      <c r="F38" s="35" t="s">
        <v>129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45">
        <f>PEP수출입국산!C32</f>
        <v>618894.43178437673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48">
        <f t="shared" si="0"/>
        <v>618894.43178437673</v>
      </c>
      <c r="AT38" s="27"/>
    </row>
    <row r="39" spans="1:46" x14ac:dyDescent="0.3">
      <c r="A39" s="122"/>
      <c r="B39" s="124"/>
      <c r="C39" s="27" t="s">
        <v>100</v>
      </c>
      <c r="D39" s="26" t="s">
        <v>160</v>
      </c>
      <c r="E39" s="29" t="s">
        <v>121</v>
      </c>
      <c r="F39" s="35" t="s">
        <v>127</v>
      </c>
      <c r="G39" s="27">
        <v>0</v>
      </c>
      <c r="H39" s="27"/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/>
      <c r="P39" s="27">
        <v>0</v>
      </c>
      <c r="Q39" s="27">
        <v>0</v>
      </c>
      <c r="R39" s="27"/>
      <c r="S39" s="27"/>
      <c r="T39" s="27"/>
      <c r="U39" s="27"/>
      <c r="V39" s="27"/>
      <c r="W39" s="27"/>
      <c r="X39" s="27"/>
      <c r="Y39" s="27"/>
      <c r="Z39" s="45">
        <f>PEP수출입국산!D33</f>
        <v>1279.7410849907826</v>
      </c>
      <c r="AA39" s="27">
        <v>0</v>
      </c>
      <c r="AB39" s="27">
        <v>0</v>
      </c>
      <c r="AC39" s="27">
        <v>0</v>
      </c>
      <c r="AD39" s="27">
        <v>0</v>
      </c>
      <c r="AE39" s="27"/>
      <c r="AF39" s="27">
        <v>0</v>
      </c>
      <c r="AG39" s="27">
        <v>0</v>
      </c>
      <c r="AH39" s="27"/>
      <c r="AI39" s="27">
        <v>0</v>
      </c>
      <c r="AJ39" s="27">
        <v>0</v>
      </c>
      <c r="AK39" s="27">
        <v>0</v>
      </c>
      <c r="AL39" s="27">
        <v>0</v>
      </c>
      <c r="AM39" s="27"/>
      <c r="AN39" s="27">
        <v>0</v>
      </c>
      <c r="AO39" s="27"/>
      <c r="AP39" s="27">
        <v>0</v>
      </c>
      <c r="AQ39" s="27"/>
      <c r="AR39" s="27"/>
      <c r="AS39" s="48">
        <f t="shared" si="0"/>
        <v>1279.7410849907826</v>
      </c>
      <c r="AT39" s="27"/>
    </row>
    <row r="40" spans="1:46" x14ac:dyDescent="0.3">
      <c r="A40" s="122"/>
      <c r="B40" s="124"/>
      <c r="C40" s="27" t="s">
        <v>100</v>
      </c>
      <c r="D40" s="33" t="s">
        <v>164</v>
      </c>
      <c r="E40" s="27" t="s">
        <v>118</v>
      </c>
      <c r="F40" s="27" t="s">
        <v>118</v>
      </c>
      <c r="G40" s="27">
        <v>0</v>
      </c>
      <c r="H40" s="27"/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/>
      <c r="P40" s="27">
        <v>0</v>
      </c>
      <c r="Q40" s="27">
        <v>0</v>
      </c>
      <c r="R40" s="27"/>
      <c r="S40" s="27"/>
      <c r="T40" s="27"/>
      <c r="U40" s="27"/>
      <c r="V40" s="27"/>
      <c r="W40" s="27"/>
      <c r="X40" s="27"/>
      <c r="Y40" s="27"/>
      <c r="Z40" s="45">
        <f>PEP수출입국산!E34</f>
        <v>112039.09594657339</v>
      </c>
      <c r="AA40" s="27">
        <v>0</v>
      </c>
      <c r="AB40" s="27">
        <v>0</v>
      </c>
      <c r="AC40" s="27">
        <v>0</v>
      </c>
      <c r="AD40" s="27">
        <v>0</v>
      </c>
      <c r="AE40" s="27"/>
      <c r="AF40" s="27">
        <v>0</v>
      </c>
      <c r="AG40" s="27">
        <v>0</v>
      </c>
      <c r="AH40" s="27"/>
      <c r="AI40" s="27">
        <v>0</v>
      </c>
      <c r="AJ40" s="27">
        <v>0</v>
      </c>
      <c r="AK40" s="27">
        <v>0</v>
      </c>
      <c r="AL40" s="27">
        <v>0</v>
      </c>
      <c r="AM40" s="27"/>
      <c r="AN40" s="27">
        <v>0</v>
      </c>
      <c r="AO40" s="27"/>
      <c r="AP40" s="27">
        <v>0</v>
      </c>
      <c r="AQ40" s="27"/>
      <c r="AR40" s="27"/>
      <c r="AS40" s="48">
        <f t="shared" si="0"/>
        <v>112039.09594657339</v>
      </c>
      <c r="AT40" s="27"/>
    </row>
    <row r="41" spans="1:46" x14ac:dyDescent="0.3">
      <c r="A41" s="122"/>
      <c r="B41" s="34"/>
      <c r="C41" s="27" t="s">
        <v>100</v>
      </c>
      <c r="D41" s="33" t="s">
        <v>162</v>
      </c>
      <c r="E41" s="35" t="s">
        <v>170</v>
      </c>
      <c r="F41" s="35" t="s">
        <v>170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45">
        <f>PEP수출입국산!F35</f>
        <v>25560.886217141506</v>
      </c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48">
        <f t="shared" si="0"/>
        <v>25560.886217141506</v>
      </c>
      <c r="AT41" s="27"/>
    </row>
    <row r="42" spans="1:46" x14ac:dyDescent="0.3">
      <c r="A42" s="122"/>
      <c r="B42" s="123" t="s">
        <v>165</v>
      </c>
      <c r="C42" s="27" t="s">
        <v>101</v>
      </c>
      <c r="D42" s="33" t="s">
        <v>166</v>
      </c>
      <c r="E42" s="29" t="s">
        <v>122</v>
      </c>
      <c r="F42" s="29" t="s">
        <v>122</v>
      </c>
      <c r="G42" s="27">
        <v>0</v>
      </c>
      <c r="H42" s="27"/>
      <c r="I42" s="27">
        <v>0</v>
      </c>
      <c r="J42" s="27">
        <v>0</v>
      </c>
      <c r="K42" s="37">
        <f>PEP노동및자본국산!B47</f>
        <v>3484.9389585885074</v>
      </c>
      <c r="L42" s="37">
        <f>PEP노동및자본국산!C47</f>
        <v>12790.27335063112</v>
      </c>
      <c r="M42" s="37">
        <f>PEP노동및자본국산!D47</f>
        <v>23427.547763495517</v>
      </c>
      <c r="N42" s="37">
        <f>PEP노동및자본국산!E47</f>
        <v>33444.46655022374</v>
      </c>
      <c r="O42" s="37">
        <f>PEP노동및자본국산!F47</f>
        <v>69917.7282162888</v>
      </c>
      <c r="P42" s="46">
        <v>353708</v>
      </c>
      <c r="Q42" s="45">
        <f>미시사회행렬국산!AB29</f>
        <v>126976.6719171351</v>
      </c>
      <c r="R42" s="27"/>
      <c r="S42" s="27"/>
      <c r="T42" s="27"/>
      <c r="U42" s="27"/>
      <c r="V42" s="27"/>
      <c r="W42" s="27"/>
      <c r="X42" s="27"/>
      <c r="Y42" s="27"/>
      <c r="Z42" s="43">
        <v>0</v>
      </c>
      <c r="AA42" s="27">
        <v>0</v>
      </c>
      <c r="AB42" s="27">
        <v>0</v>
      </c>
      <c r="AC42" s="27">
        <v>0</v>
      </c>
      <c r="AD42" s="27">
        <v>0</v>
      </c>
      <c r="AE42" s="27"/>
      <c r="AF42" s="27">
        <v>0</v>
      </c>
      <c r="AG42" s="27">
        <v>0</v>
      </c>
      <c r="AH42" s="27"/>
      <c r="AI42" s="27">
        <v>0</v>
      </c>
      <c r="AJ42" s="27">
        <v>0</v>
      </c>
      <c r="AK42" s="27">
        <v>0</v>
      </c>
      <c r="AL42" s="27">
        <v>0</v>
      </c>
      <c r="AM42" s="27"/>
      <c r="AN42" s="27">
        <v>0</v>
      </c>
      <c r="AO42" s="27"/>
      <c r="AP42" s="27"/>
      <c r="AQ42" s="27"/>
      <c r="AR42" s="27"/>
      <c r="AS42" s="48">
        <f t="shared" si="0"/>
        <v>623749.62675636273</v>
      </c>
      <c r="AT42" s="27"/>
    </row>
    <row r="43" spans="1:46" x14ac:dyDescent="0.3">
      <c r="A43" s="122"/>
      <c r="B43" s="123"/>
      <c r="C43" s="27" t="s">
        <v>101</v>
      </c>
      <c r="D43" s="33" t="s">
        <v>166</v>
      </c>
      <c r="E43" s="29" t="s">
        <v>122</v>
      </c>
      <c r="F43" s="35" t="s">
        <v>170</v>
      </c>
      <c r="G43" s="27"/>
      <c r="H43" s="27"/>
      <c r="I43" s="27"/>
      <c r="J43" s="27"/>
      <c r="K43" s="37"/>
      <c r="L43" s="37"/>
      <c r="M43" s="37"/>
      <c r="N43" s="37"/>
      <c r="O43" s="37"/>
      <c r="P43" s="46">
        <v>40175</v>
      </c>
      <c r="Q43" s="45">
        <f>미시사회행렬국산!AB30</f>
        <v>6690.1732436370621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48">
        <f t="shared" si="0"/>
        <v>46865.173243637066</v>
      </c>
      <c r="AT43" s="27"/>
    </row>
    <row r="44" spans="1:46" x14ac:dyDescent="0.3">
      <c r="A44" s="122"/>
      <c r="B44" s="124"/>
      <c r="C44" s="29" t="s">
        <v>101</v>
      </c>
      <c r="D44" s="33" t="s">
        <v>167</v>
      </c>
      <c r="E44" s="29" t="s">
        <v>123</v>
      </c>
      <c r="F44" s="29" t="s">
        <v>123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>
        <v>-400</v>
      </c>
      <c r="AQ44" s="27"/>
      <c r="AR44" s="27"/>
      <c r="AS44" s="48">
        <f t="shared" si="0"/>
        <v>-400</v>
      </c>
      <c r="AT44" s="27"/>
    </row>
    <row r="45" spans="1:46" ht="18" customHeight="1" x14ac:dyDescent="0.3">
      <c r="A45" s="122"/>
      <c r="B45" s="124"/>
      <c r="C45" s="27" t="s">
        <v>101</v>
      </c>
      <c r="D45" s="33" t="s">
        <v>168</v>
      </c>
      <c r="E45" s="27" t="s">
        <v>124</v>
      </c>
      <c r="F45" s="27"/>
      <c r="G45" s="48">
        <f t="shared" ref="G45:AR45" si="4">SUM(G7:G44)</f>
        <v>463317.1781045791</v>
      </c>
      <c r="H45" s="48">
        <f t="shared" si="4"/>
        <v>423896.47258124227</v>
      </c>
      <c r="I45" s="48">
        <f t="shared" si="4"/>
        <v>780031.69999999984</v>
      </c>
      <c r="J45" s="48">
        <f t="shared" si="4"/>
        <v>46641</v>
      </c>
      <c r="K45" s="48">
        <f t="shared" si="4"/>
        <v>19062.628591890931</v>
      </c>
      <c r="L45" s="48">
        <f t="shared" si="4"/>
        <v>87900.881757358526</v>
      </c>
      <c r="M45" s="48">
        <f t="shared" si="4"/>
        <v>175827.46242776187</v>
      </c>
      <c r="N45" s="48">
        <f t="shared" si="4"/>
        <v>295279.4807714991</v>
      </c>
      <c r="O45" s="48">
        <f t="shared" si="4"/>
        <v>597326.01045148936</v>
      </c>
      <c r="P45" s="48">
        <f t="shared" si="4"/>
        <v>564695</v>
      </c>
      <c r="Q45" s="48">
        <f t="shared" si="4"/>
        <v>462297.97999999986</v>
      </c>
      <c r="R45" s="48">
        <f t="shared" si="4"/>
        <v>96356</v>
      </c>
      <c r="S45" s="48">
        <f t="shared" si="4"/>
        <v>72174</v>
      </c>
      <c r="T45" s="48">
        <f t="shared" si="4"/>
        <v>160659</v>
      </c>
      <c r="U45" s="48">
        <f t="shared" si="4"/>
        <v>23757</v>
      </c>
      <c r="V45" s="48">
        <f t="shared" si="4"/>
        <v>15811</v>
      </c>
      <c r="W45" s="48">
        <f t="shared" si="4"/>
        <v>14466</v>
      </c>
      <c r="X45" s="48">
        <f t="shared" si="4"/>
        <v>23401</v>
      </c>
      <c r="Y45" s="48">
        <f t="shared" si="4"/>
        <v>1399</v>
      </c>
      <c r="Z45" s="48">
        <f t="shared" si="4"/>
        <v>761603.00699999998</v>
      </c>
      <c r="AA45" s="48">
        <f t="shared" si="4"/>
        <v>69242.134054360169</v>
      </c>
      <c r="AB45" s="48">
        <f t="shared" si="4"/>
        <v>1502557.1483935632</v>
      </c>
      <c r="AC45" s="48">
        <f t="shared" si="4"/>
        <v>400797.9247758445</v>
      </c>
      <c r="AD45" s="48">
        <f t="shared" si="4"/>
        <v>1888409.0131069275</v>
      </c>
      <c r="AE45" s="48">
        <f t="shared" si="4"/>
        <v>195011.57720409235</v>
      </c>
      <c r="AF45" s="48">
        <f t="shared" si="4"/>
        <v>219291.81203308242</v>
      </c>
      <c r="AG45" s="48">
        <f t="shared" si="4"/>
        <v>1315727.4417377235</v>
      </c>
      <c r="AH45" s="48">
        <f t="shared" si="4"/>
        <v>395145.68991500931</v>
      </c>
      <c r="AI45" s="48">
        <f t="shared" si="4"/>
        <v>1853473.0537918268</v>
      </c>
      <c r="AJ45" s="48">
        <f t="shared" si="4"/>
        <v>189622.50336325853</v>
      </c>
      <c r="AK45" s="48">
        <f t="shared" si="4"/>
        <v>3987.8519669175562</v>
      </c>
      <c r="AL45" s="48">
        <f t="shared" si="4"/>
        <v>618894.43178437673</v>
      </c>
      <c r="AM45" s="48">
        <f t="shared" si="4"/>
        <v>1299.7410849907826</v>
      </c>
      <c r="AN45" s="48">
        <f t="shared" si="4"/>
        <v>112039.09594657339</v>
      </c>
      <c r="AO45" s="48">
        <f t="shared" si="4"/>
        <v>25560.886217141506</v>
      </c>
      <c r="AP45" s="48">
        <f t="shared" si="4"/>
        <v>565544</v>
      </c>
      <c r="AQ45" s="48">
        <f t="shared" si="4"/>
        <v>40175</v>
      </c>
      <c r="AR45" s="48">
        <f t="shared" si="4"/>
        <v>-400</v>
      </c>
      <c r="AS45" s="48"/>
      <c r="AT45" s="27"/>
    </row>
    <row r="46" spans="1:46" x14ac:dyDescent="0.3">
      <c r="G46" s="11">
        <f t="array" ref="G46:AR46">TRANSPOSE(AS7:AS44)</f>
        <v>479128.4158268657</v>
      </c>
      <c r="H46" s="11">
        <v>438362.43286581413</v>
      </c>
      <c r="I46" s="11">
        <v>780032.19400310004</v>
      </c>
      <c r="J46" s="11">
        <v>46640.817996900005</v>
      </c>
      <c r="K46" s="11">
        <v>19769.568856058831</v>
      </c>
      <c r="L46" s="11">
        <v>87974.010076134102</v>
      </c>
      <c r="M46" s="11">
        <v>173877.94137878434</v>
      </c>
      <c r="N46" s="11">
        <v>286264.5282129249</v>
      </c>
      <c r="O46" s="11">
        <v>581305.30216191907</v>
      </c>
      <c r="P46" s="11">
        <v>564695</v>
      </c>
      <c r="Q46" s="11">
        <v>506760</v>
      </c>
      <c r="R46" s="11">
        <v>96355.684999999823</v>
      </c>
      <c r="S46" s="11">
        <v>72174</v>
      </c>
      <c r="T46" s="11">
        <v>160659.12800000006</v>
      </c>
      <c r="U46" s="11">
        <v>23757.155999999999</v>
      </c>
      <c r="V46" s="11">
        <v>15811</v>
      </c>
      <c r="W46" s="11">
        <v>14466</v>
      </c>
      <c r="X46" s="11">
        <v>23401</v>
      </c>
      <c r="Y46" s="11">
        <v>1399</v>
      </c>
      <c r="Z46" s="11">
        <v>714157.63899879251</v>
      </c>
      <c r="AA46" s="11">
        <v>64034.049361680358</v>
      </c>
      <c r="AB46" s="11">
        <v>1488475.148393563</v>
      </c>
      <c r="AC46" s="11">
        <v>396189.92477584456</v>
      </c>
      <c r="AD46" s="11">
        <v>1856429.013106928</v>
      </c>
      <c r="AE46" s="11">
        <v>191730.57720409235</v>
      </c>
      <c r="AF46" s="11">
        <v>178652.96449868649</v>
      </c>
      <c r="AG46" s="11">
        <v>1334970.5874126274</v>
      </c>
      <c r="AH46" s="11">
        <v>398213.19138661237</v>
      </c>
      <c r="AI46" s="11">
        <v>1865154.7626922228</v>
      </c>
      <c r="AJ46" s="11">
        <v>189622.26185195849</v>
      </c>
      <c r="AK46" s="11">
        <v>3828.8519669175562</v>
      </c>
      <c r="AL46" s="11">
        <v>618894.43178437673</v>
      </c>
      <c r="AM46" s="11">
        <v>1279.7410849907826</v>
      </c>
      <c r="AN46" s="11">
        <v>112039.09594657339</v>
      </c>
      <c r="AO46" s="11">
        <v>25560.886217141506</v>
      </c>
      <c r="AP46" s="11">
        <v>623749.62675636273</v>
      </c>
      <c r="AQ46" s="11">
        <v>46865.173243637066</v>
      </c>
      <c r="AR46" s="11">
        <v>-400</v>
      </c>
    </row>
  </sheetData>
  <mergeCells count="18">
    <mergeCell ref="A7:A45"/>
    <mergeCell ref="B7:B8"/>
    <mergeCell ref="B9:B10"/>
    <mergeCell ref="B11:B26"/>
    <mergeCell ref="B27:B30"/>
    <mergeCell ref="B32:B36"/>
    <mergeCell ref="B37:B40"/>
    <mergeCell ref="B42:B45"/>
    <mergeCell ref="A1:D1"/>
    <mergeCell ref="A2:D2"/>
    <mergeCell ref="G2:AS2"/>
    <mergeCell ref="G3:H3"/>
    <mergeCell ref="I3:J3"/>
    <mergeCell ref="K3:Z3"/>
    <mergeCell ref="AA3:AD3"/>
    <mergeCell ref="AF3:AJ3"/>
    <mergeCell ref="AK3:AN3"/>
    <mergeCell ref="AP3:AS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미시사회행렬초기21개</vt:lpstr>
      <vt:lpstr>거시 사회계정행렬</vt:lpstr>
      <vt:lpstr>미시사회계정행렬</vt:lpstr>
      <vt:lpstr>미시사회행렬국산</vt:lpstr>
      <vt:lpstr>미시사회계정행렬최종</vt:lpstr>
      <vt:lpstr>PEP국산노동세자본세</vt:lpstr>
      <vt:lpstr>PEP국산노동세자본세 (2)</vt:lpstr>
      <vt:lpstr>PEP국산</vt:lpstr>
      <vt:lpstr>PEP국산초기(- 포함)</vt:lpstr>
      <vt:lpstr>PEP국산초기 (0으로 변환)</vt:lpstr>
      <vt:lpstr>미시사회행렬초기</vt:lpstr>
      <vt:lpstr>PEP산업국산초기</vt:lpstr>
      <vt:lpstr>PEP노동및자본국산초기</vt:lpstr>
      <vt:lpstr>PEP노동및자본국산초기21개</vt:lpstr>
      <vt:lpstr>PEP상품및가계소비국산초기</vt:lpstr>
      <vt:lpstr>PEP수출입국산초기</vt:lpstr>
      <vt:lpstr>PEP산업국산</vt:lpstr>
      <vt:lpstr>PEP노동및자본국산</vt:lpstr>
      <vt:lpstr>PEP상품및가계소비국산</vt:lpstr>
      <vt:lpstr>PEP수출입국산</vt:lpstr>
      <vt:lpstr>PEP산업</vt:lpstr>
      <vt:lpstr>PEP노동및자본</vt:lpstr>
      <vt:lpstr>PEP상품및가계소비</vt:lpstr>
      <vt:lpstr>PEP수출입</vt:lpstr>
      <vt:lpstr>PEP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Innovation</cp:lastModifiedBy>
  <dcterms:created xsi:type="dcterms:W3CDTF">2022-08-30T07:03:06Z</dcterms:created>
  <dcterms:modified xsi:type="dcterms:W3CDTF">2022-09-16T08:03:22Z</dcterms:modified>
</cp:coreProperties>
</file>