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\Desktop\Elia School\01.Jan_MBC638_Stats\Project\"/>
    </mc:Choice>
  </mc:AlternateContent>
  <xr:revisionPtr revIDLastSave="0" documentId="13_ncr:1_{46E3D6E3-4FFD-4075-8A3B-024C2A7EE99C}" xr6:coauthVersionLast="45" xr6:coauthVersionMax="45" xr10:uidLastSave="{00000000-0000-0000-0000-000000000000}"/>
  <bookViews>
    <workbookView xWindow="-120" yWindow="-120" windowWidth="24240" windowHeight="13140" tabRatio="729" xr2:uid="{E4ADC253-6A8D-4593-ACE6-B5759D804FA9}"/>
  </bookViews>
  <sheets>
    <sheet name="data" sheetId="1" r:id="rId1"/>
    <sheet name="scatterplot" sheetId="9" r:id="rId2"/>
    <sheet name="chisquare" sheetId="19" r:id="rId3"/>
    <sheet name="regression2" sheetId="20" r:id="rId4"/>
    <sheet name="normdist" sheetId="18" r:id="rId5"/>
    <sheet name="desc_statistics" sheetId="5" r:id="rId6"/>
    <sheet name="hypothesis" sheetId="17" r:id="rId7"/>
    <sheet name="stackedchart" sheetId="16" r:id="rId8"/>
    <sheet name="samplesize" sheetId="21" r:id="rId9"/>
    <sheet name="SQL" sheetId="13" r:id="rId10"/>
    <sheet name="correlation" sheetId="8" r:id="rId11"/>
    <sheet name="controlchart" sheetId="11" r:id="rId12"/>
    <sheet name="regression" sheetId="15" r:id="rId13"/>
  </sheets>
  <definedNames>
    <definedName name="_xlnm._FilterDatabase" localSheetId="0" hidden="1">data!$Y$1:$Y$8</definedName>
    <definedName name="_xlchart.v1.0" hidden="1">desc_statistics!$V$1</definedName>
    <definedName name="_xlchart.v1.1" hidden="1">desc_statistics!$V$2:$V$10</definedName>
    <definedName name="_xlchart.v1.2" hidden="1">desc_statistics!$W$1</definedName>
    <definedName name="_xlchart.v1.3" hidden="1">desc_statistics!$W$2:$W$10</definedName>
    <definedName name="_xlchart.v1.4" hidden="1">stackedchart!$A$1:$E$1</definedName>
    <definedName name="_xlchart.v1.5" hidden="1">stackedchart!$A$9:$E$9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" i="16" l="1"/>
  <c r="T7" i="16"/>
  <c r="T5" i="16"/>
  <c r="G3" i="9" l="1"/>
  <c r="G4" i="9"/>
  <c r="G5" i="9"/>
  <c r="G6" i="9"/>
  <c r="G7" i="9"/>
  <c r="G8" i="9"/>
  <c r="G2" i="9"/>
  <c r="O20" i="19"/>
  <c r="N4" i="19"/>
  <c r="N5" i="19" s="1"/>
  <c r="M4" i="19"/>
  <c r="M5" i="19" s="1"/>
  <c r="K4" i="19"/>
  <c r="O3" i="19"/>
  <c r="S9" i="19"/>
  <c r="S10" i="19"/>
  <c r="S11" i="19"/>
  <c r="S12" i="19"/>
  <c r="S13" i="19"/>
  <c r="S14" i="19"/>
  <c r="S8" i="19"/>
  <c r="L4" i="19"/>
  <c r="L5" i="19" s="1"/>
  <c r="K5" i="19"/>
  <c r="J4" i="19"/>
  <c r="J5" i="19" s="1"/>
  <c r="F20" i="19"/>
  <c r="F3" i="19"/>
  <c r="O4" i="19" l="1"/>
  <c r="O5" i="19" s="1"/>
  <c r="K12" i="19" s="1"/>
  <c r="L12" i="19" s="1"/>
  <c r="M12" i="19" s="1"/>
  <c r="K15" i="19" l="1"/>
  <c r="L15" i="19" s="1"/>
  <c r="M15" i="19" s="1"/>
  <c r="K14" i="19"/>
  <c r="L14" i="19" s="1"/>
  <c r="M14" i="19" s="1"/>
  <c r="K17" i="19"/>
  <c r="L17" i="19" s="1"/>
  <c r="M17" i="19" s="1"/>
  <c r="K13" i="19"/>
  <c r="L13" i="19" s="1"/>
  <c r="M13" i="19" s="1"/>
  <c r="K16" i="19"/>
  <c r="L16" i="19" s="1"/>
  <c r="M16" i="19" s="1"/>
  <c r="K8" i="19"/>
  <c r="L8" i="19" s="1"/>
  <c r="M8" i="19" s="1"/>
  <c r="K11" i="19"/>
  <c r="L11" i="19" s="1"/>
  <c r="M11" i="19" s="1"/>
  <c r="K9" i="19"/>
  <c r="L9" i="19" s="1"/>
  <c r="M9" i="19" s="1"/>
  <c r="K10" i="19"/>
  <c r="L10" i="19" s="1"/>
  <c r="M10" i="19" s="1"/>
  <c r="M18" i="19" l="1"/>
  <c r="B5" i="19"/>
  <c r="D5" i="19"/>
  <c r="E4" i="19"/>
  <c r="E5" i="19" s="1"/>
  <c r="D4" i="19"/>
  <c r="C4" i="19"/>
  <c r="C5" i="19" s="1"/>
  <c r="B4" i="19"/>
  <c r="F4" i="19" s="1"/>
  <c r="C13" i="19" l="1"/>
  <c r="D13" i="19" s="1"/>
  <c r="E13" i="19" s="1"/>
  <c r="C12" i="19"/>
  <c r="D12" i="19" s="1"/>
  <c r="E12" i="19" s="1"/>
  <c r="F5" i="19"/>
  <c r="C11" i="19" s="1"/>
  <c r="D11" i="19" s="1"/>
  <c r="E11" i="19" s="1"/>
  <c r="C9" i="19"/>
  <c r="D9" i="19" s="1"/>
  <c r="E9" i="19" s="1"/>
  <c r="C10" i="19"/>
  <c r="D10" i="19" s="1"/>
  <c r="E10" i="19" s="1"/>
  <c r="R9" i="16"/>
  <c r="R7" i="16"/>
  <c r="R8" i="16"/>
  <c r="R6" i="16"/>
  <c r="R5" i="16"/>
  <c r="H11" i="16"/>
  <c r="I11" i="16"/>
  <c r="J11" i="16"/>
  <c r="K11" i="16"/>
  <c r="L11" i="16"/>
  <c r="Y9" i="5"/>
  <c r="AB9" i="5"/>
  <c r="AG9" i="5" s="1"/>
  <c r="AH9" i="5" s="1"/>
  <c r="AC9" i="5"/>
  <c r="AD9" i="5"/>
  <c r="AE9" i="5"/>
  <c r="AF9" i="5"/>
  <c r="F18" i="5"/>
  <c r="A9" i="9"/>
  <c r="V10" i="15"/>
  <c r="U10" i="15"/>
  <c r="T10" i="15"/>
  <c r="V9" i="15"/>
  <c r="U9" i="15"/>
  <c r="T9" i="15"/>
  <c r="V8" i="15"/>
  <c r="U8" i="15"/>
  <c r="T8" i="15"/>
  <c r="V7" i="15"/>
  <c r="U7" i="15"/>
  <c r="T7" i="15"/>
  <c r="V6" i="15"/>
  <c r="U6" i="15"/>
  <c r="T6" i="15"/>
  <c r="V5" i="15"/>
  <c r="U5" i="15"/>
  <c r="T5" i="15"/>
  <c r="V4" i="15"/>
  <c r="U4" i="15"/>
  <c r="T4" i="15"/>
  <c r="V3" i="15"/>
  <c r="U3" i="15"/>
  <c r="T3" i="15"/>
  <c r="V2" i="15"/>
  <c r="U2" i="15"/>
  <c r="T2" i="15"/>
  <c r="U10" i="5"/>
  <c r="T10" i="5"/>
  <c r="U9" i="5"/>
  <c r="T9" i="5"/>
  <c r="V8" i="5"/>
  <c r="U8" i="5"/>
  <c r="T8" i="5"/>
  <c r="V7" i="5"/>
  <c r="U7" i="5"/>
  <c r="T7" i="5"/>
  <c r="V6" i="5"/>
  <c r="U6" i="5"/>
  <c r="T6" i="5"/>
  <c r="V5" i="5"/>
  <c r="U5" i="5"/>
  <c r="T5" i="5"/>
  <c r="V4" i="5"/>
  <c r="U4" i="5"/>
  <c r="T4" i="5"/>
  <c r="V3" i="5"/>
  <c r="U3" i="5"/>
  <c r="T3" i="5"/>
  <c r="V2" i="5"/>
  <c r="U2" i="5"/>
  <c r="T2" i="5"/>
  <c r="AE3" i="1"/>
  <c r="AE4" i="1"/>
  <c r="AE5" i="1"/>
  <c r="AE6" i="1"/>
  <c r="AE7" i="1"/>
  <c r="AE8" i="1"/>
  <c r="AE9" i="1"/>
  <c r="AE10" i="1"/>
  <c r="AD3" i="1"/>
  <c r="AD4" i="1"/>
  <c r="AD5" i="1"/>
  <c r="AD6" i="1"/>
  <c r="AD7" i="1"/>
  <c r="AD8" i="1"/>
  <c r="AD9" i="1"/>
  <c r="AD10" i="1"/>
  <c r="AC3" i="1"/>
  <c r="AC4" i="1"/>
  <c r="AC5" i="1"/>
  <c r="AC6" i="1"/>
  <c r="AC7" i="1"/>
  <c r="AC8" i="1"/>
  <c r="AC9" i="1"/>
  <c r="AC10" i="1"/>
  <c r="AB3" i="1"/>
  <c r="AB4" i="1"/>
  <c r="AB5" i="1"/>
  <c r="AB6" i="1"/>
  <c r="AB7" i="1"/>
  <c r="AB8" i="1"/>
  <c r="AB9" i="1"/>
  <c r="AB10" i="1"/>
  <c r="AA3" i="1"/>
  <c r="AA4" i="1"/>
  <c r="AA5" i="1"/>
  <c r="AA6" i="1"/>
  <c r="AA7" i="1"/>
  <c r="AA8" i="1"/>
  <c r="AA9" i="1"/>
  <c r="AA10" i="1"/>
  <c r="Z3" i="1"/>
  <c r="Z4" i="1"/>
  <c r="Z5" i="1"/>
  <c r="Z6" i="1"/>
  <c r="Z7" i="1"/>
  <c r="Z8" i="1"/>
  <c r="Z9" i="1"/>
  <c r="Z10" i="1"/>
  <c r="Y3" i="1"/>
  <c r="Y4" i="1"/>
  <c r="Y5" i="1"/>
  <c r="Y6" i="1"/>
  <c r="Y7" i="1"/>
  <c r="Y8" i="1"/>
  <c r="Y9" i="1"/>
  <c r="Y10" i="1"/>
  <c r="Y2" i="1"/>
  <c r="Z2" i="1"/>
  <c r="AA2" i="1"/>
  <c r="AB2" i="1"/>
  <c r="AC2" i="1"/>
  <c r="AD2" i="1"/>
  <c r="AE2" i="1"/>
  <c r="X3" i="1"/>
  <c r="X4" i="1"/>
  <c r="X5" i="1"/>
  <c r="X6" i="1"/>
  <c r="X7" i="1"/>
  <c r="X8" i="1"/>
  <c r="X9" i="1"/>
  <c r="X10" i="1"/>
  <c r="X2" i="1"/>
  <c r="C14" i="19" l="1"/>
  <c r="D14" i="19" s="1"/>
  <c r="E14" i="19" s="1"/>
  <c r="C8" i="19"/>
  <c r="D8" i="19" s="1"/>
  <c r="E8" i="19" s="1"/>
  <c r="C15" i="19"/>
  <c r="D15" i="19" s="1"/>
  <c r="E15" i="19" s="1"/>
  <c r="G6" i="17"/>
  <c r="G7" i="17"/>
  <c r="H7" i="17" s="1"/>
  <c r="H8" i="17" s="1"/>
  <c r="G3" i="17"/>
  <c r="B4" i="17"/>
  <c r="B3" i="17"/>
  <c r="E16" i="19" l="1"/>
  <c r="A9" i="16"/>
  <c r="B9" i="16"/>
  <c r="C9" i="16"/>
  <c r="D9" i="16"/>
  <c r="E9" i="16"/>
  <c r="D6" i="13"/>
  <c r="D7" i="13" s="1"/>
  <c r="D4" i="13"/>
  <c r="C6" i="13"/>
  <c r="C7" i="13" s="1"/>
  <c r="C4" i="13"/>
  <c r="N11" i="11" l="1"/>
  <c r="H4" i="11"/>
  <c r="H5" i="11"/>
  <c r="H6" i="11"/>
  <c r="H7" i="11"/>
  <c r="H8" i="11"/>
  <c r="H9" i="11"/>
  <c r="H10" i="11"/>
  <c r="V10" i="8"/>
  <c r="U10" i="8"/>
  <c r="T10" i="8"/>
  <c r="V9" i="8"/>
  <c r="U9" i="8"/>
  <c r="T9" i="8"/>
  <c r="V8" i="8"/>
  <c r="U8" i="8"/>
  <c r="T8" i="8"/>
  <c r="V7" i="8"/>
  <c r="U7" i="8"/>
  <c r="T7" i="8"/>
  <c r="V6" i="8"/>
  <c r="U6" i="8"/>
  <c r="T6" i="8"/>
  <c r="V5" i="8"/>
  <c r="U5" i="8"/>
  <c r="T5" i="8"/>
  <c r="V4" i="8"/>
  <c r="U4" i="8"/>
  <c r="T4" i="8"/>
  <c r="V3" i="8"/>
  <c r="U3" i="8"/>
  <c r="T3" i="8"/>
  <c r="V2" i="8"/>
  <c r="U2" i="8"/>
  <c r="T2" i="8"/>
  <c r="V9" i="1"/>
  <c r="H3" i="11"/>
  <c r="H11" i="11" s="1"/>
  <c r="T9" i="1"/>
  <c r="T8" i="1"/>
  <c r="T7" i="1"/>
  <c r="T6" i="1"/>
  <c r="T5" i="1"/>
  <c r="T4" i="1"/>
  <c r="T3" i="1"/>
  <c r="T2" i="1"/>
  <c r="T10" i="1"/>
  <c r="V8" i="1"/>
  <c r="V7" i="1"/>
  <c r="V6" i="1"/>
  <c r="V5" i="1"/>
  <c r="V4" i="1"/>
  <c r="V3" i="1"/>
  <c r="V2" i="1"/>
  <c r="V10" i="1"/>
  <c r="U8" i="1"/>
  <c r="U7" i="1"/>
  <c r="U6" i="1"/>
  <c r="U5" i="1"/>
  <c r="U4" i="1"/>
  <c r="U3" i="1"/>
  <c r="U2" i="1"/>
  <c r="U10" i="1"/>
  <c r="U9" i="1"/>
  <c r="V12" i="1" l="1"/>
  <c r="V13" i="1"/>
  <c r="J14" i="11"/>
  <c r="J13" i="11"/>
  <c r="Q14" i="11"/>
  <c r="Q13" i="11"/>
</calcChain>
</file>

<file path=xl/sharedStrings.xml><?xml version="1.0" encoding="utf-8"?>
<sst xmlns="http://schemas.openxmlformats.org/spreadsheetml/2006/main" count="662" uniqueCount="179">
  <si>
    <t>Statistical testing</t>
  </si>
  <si>
    <t>Study</t>
  </si>
  <si>
    <t>Observations</t>
  </si>
  <si>
    <t>Month</t>
  </si>
  <si>
    <t>Initiating Deferrals Part II</t>
  </si>
  <si>
    <t>VA Practical Case Review</t>
  </si>
  <si>
    <t>Initiating Deferrals Part I</t>
  </si>
  <si>
    <t>Insufficient VAE/Medical Opinions</t>
  </si>
  <si>
    <t>EMS Submitting an Exam</t>
  </si>
  <si>
    <t>Nov</t>
  </si>
  <si>
    <t>Jan</t>
  </si>
  <si>
    <t>Dec</t>
  </si>
  <si>
    <t>EMS Clarification, Modification, and Rework</t>
  </si>
  <si>
    <t>Write-up</t>
  </si>
  <si>
    <t>Data received date</t>
  </si>
  <si>
    <t>Submission date</t>
  </si>
  <si>
    <t>Inferred / Ancillary Issues</t>
  </si>
  <si>
    <t>Oct</t>
  </si>
  <si>
    <t>5103 Notice Requirements</t>
  </si>
  <si>
    <t>Pretest and Posttest</t>
  </si>
  <si>
    <t>No</t>
  </si>
  <si>
    <t>Yes</t>
  </si>
  <si>
    <t>Total Errors</t>
  </si>
  <si>
    <t>Audience</t>
  </si>
  <si>
    <t>Rating</t>
  </si>
  <si>
    <t>Authorization</t>
  </si>
  <si>
    <t>QA review 1 error count</t>
  </si>
  <si>
    <t>QA review 2 error count</t>
  </si>
  <si>
    <t>Feb</t>
  </si>
  <si>
    <t>FY</t>
  </si>
  <si>
    <t>Deferrals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</si>
  <si>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</si>
  <si>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</si>
  <si>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</si>
  <si>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</si>
  <si>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</si>
  <si>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</si>
  <si>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</si>
  <si>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</si>
  <si>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</si>
  <si>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</si>
  <si>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</si>
  <si>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</si>
  <si>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</si>
  <si>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</si>
  <si>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</si>
  <si>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</si>
  <si>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</si>
  <si>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</si>
  <si>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</si>
  <si>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</si>
  <si>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</si>
  <si>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</si>
  <si>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</si>
  <si>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</si>
  <si>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</si>
  <si>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</si>
  <si>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</si>
  <si>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</si>
  <si>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</si>
  <si>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</si>
  <si>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</si>
  <si>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</si>
  <si>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</si>
  <si>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</si>
  <si>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</si>
  <si>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Yellow=Improve phase</t>
  </si>
  <si>
    <t>mR</t>
  </si>
  <si>
    <t>mRbar</t>
  </si>
  <si>
    <t>UCL</t>
  </si>
  <si>
    <t>LCL</t>
  </si>
  <si>
    <t>Sample</t>
  </si>
  <si>
    <t>Anova: Single Factor</t>
  </si>
  <si>
    <t>SUMMARY</t>
  </si>
  <si>
    <t>Groups</t>
  </si>
  <si>
    <t>Average</t>
  </si>
  <si>
    <t>Variance</t>
  </si>
  <si>
    <t>Source of Variation</t>
  </si>
  <si>
    <t>F crit</t>
  </si>
  <si>
    <t>Between Groups</t>
  </si>
  <si>
    <t>Within Groups</t>
  </si>
  <si>
    <t>use n = 2 on chart</t>
  </si>
  <si>
    <t>D3*mRbar</t>
  </si>
  <si>
    <t>D4*mRbar</t>
  </si>
  <si>
    <t>x</t>
  </si>
  <si>
    <t>xbar</t>
  </si>
  <si>
    <t>xbar+E2*mRbar</t>
  </si>
  <si>
    <t>xbar-E2*mRbar</t>
  </si>
  <si>
    <t>Before Improve</t>
  </si>
  <si>
    <t>After Improve</t>
  </si>
  <si>
    <t>Graph and Appendix Development</t>
  </si>
  <si>
    <t>Explore and Clean Data</t>
  </si>
  <si>
    <t>Before</t>
  </si>
  <si>
    <t xml:space="preserve">Write-up </t>
  </si>
  <si>
    <t xml:space="preserve">Shell production </t>
  </si>
  <si>
    <t xml:space="preserve">Graph and Appendix </t>
  </si>
  <si>
    <t>Explore and clean data</t>
  </si>
  <si>
    <t>Total possible defects per report</t>
  </si>
  <si>
    <t>Total actual defects</t>
  </si>
  <si>
    <t>Defect per opportunity rate</t>
  </si>
  <si>
    <t>SQL value from SQL table</t>
  </si>
  <si>
    <t>DPMO</t>
  </si>
  <si>
    <t>Defects per million opportunity</t>
  </si>
  <si>
    <t>DPO</t>
  </si>
  <si>
    <t>A</t>
  </si>
  <si>
    <t>D*U</t>
  </si>
  <si>
    <t>U</t>
  </si>
  <si>
    <t>D</t>
  </si>
  <si>
    <t>SQL</t>
  </si>
  <si>
    <t>Returns the right-tailed Student's t-distribution.</t>
  </si>
  <si>
    <t>The t-distribution is used in the hypothesis testing of small sample data sets. Use this function in place of a table of critical values for the t-distribution.</t>
  </si>
  <si>
    <t>t - distribution</t>
  </si>
  <si>
    <t>=T.DIST.RT(0.6, 2)</t>
  </si>
  <si>
    <t>(one tail)</t>
  </si>
  <si>
    <t>(probability)</t>
  </si>
  <si>
    <t>=T.DIST.2T(0.6, 2)</t>
  </si>
  <si>
    <t>(two tail)</t>
  </si>
  <si>
    <t>0.6 = value you are looking for (x)</t>
  </si>
  <si>
    <t>2 = degrees of freedom</t>
  </si>
  <si>
    <t>2T= two tailed (ends of the curve)</t>
  </si>
  <si>
    <t>df = n-1</t>
  </si>
  <si>
    <t>so 7-1</t>
  </si>
  <si>
    <t>Explore and clean (hours)</t>
  </si>
  <si>
    <t>Graph and appendix production (hours)</t>
  </si>
  <si>
    <t>Shell production hours)</t>
  </si>
  <si>
    <t>Statistical testing (hours)</t>
  </si>
  <si>
    <t>Write-up (hours)</t>
  </si>
  <si>
    <t>QA review 1 (hours)</t>
  </si>
  <si>
    <t>QA review 2 (hours)</t>
  </si>
  <si>
    <t>Updates (hours)</t>
  </si>
  <si>
    <t>Total Production Time (hours)</t>
  </si>
  <si>
    <t>Total hours</t>
  </si>
  <si>
    <t>Shell production (hours)</t>
  </si>
  <si>
    <t>After</t>
  </si>
  <si>
    <t xml:space="preserve">SQL  </t>
  </si>
  <si>
    <t>Interpretation and Write-up</t>
  </si>
  <si>
    <t>Production time</t>
  </si>
  <si>
    <t xml:space="preserve">Explore and clean </t>
  </si>
  <si>
    <t xml:space="preserve">Graph and appendix production </t>
  </si>
  <si>
    <t xml:space="preserve">Statistical testing </t>
  </si>
  <si>
    <t>Step</t>
  </si>
  <si>
    <t>Bin</t>
  </si>
  <si>
    <t>Frequency</t>
  </si>
  <si>
    <t>Defect opportunities per unit (25 sub-analysis per report)</t>
  </si>
  <si>
    <t>Units produced per period (7 reports)</t>
  </si>
  <si>
    <t>Error</t>
  </si>
  <si>
    <t>Not an error</t>
  </si>
  <si>
    <t>Report</t>
  </si>
  <si>
    <t>Totals</t>
  </si>
  <si>
    <t>Error8</t>
  </si>
  <si>
    <t>NotError8</t>
  </si>
  <si>
    <t>f(expected)</t>
  </si>
  <si>
    <t>f(observed)</t>
  </si>
  <si>
    <t>/F</t>
  </si>
  <si>
    <t>(f-F)^2</t>
  </si>
  <si>
    <t>Time (hours)</t>
  </si>
  <si>
    <t>Error16</t>
  </si>
  <si>
    <t>Error20</t>
  </si>
  <si>
    <t>Error32</t>
  </si>
  <si>
    <t>NotError16</t>
  </si>
  <si>
    <t>NotError20</t>
  </si>
  <si>
    <t>NotError32</t>
  </si>
  <si>
    <t>Graph and Appendix Production and Errors</t>
  </si>
  <si>
    <t>df=</t>
  </si>
  <si>
    <t>(r-1)(c-1)</t>
  </si>
  <si>
    <t>probability=</t>
  </si>
  <si>
    <t>Exploring and Cleaning data AND Graph and Appendix Production and Errors</t>
  </si>
  <si>
    <t>total</t>
  </si>
  <si>
    <t>Error24</t>
  </si>
  <si>
    <t>Error40</t>
  </si>
  <si>
    <t>Error48</t>
  </si>
  <si>
    <t>NotError24</t>
  </si>
  <si>
    <t>NotError40</t>
  </si>
  <si>
    <t>NotError48</t>
  </si>
  <si>
    <t>sum</t>
  </si>
  <si>
    <t>(1.96)x0.4057(1-0.4057)/0.0075</t>
  </si>
  <si>
    <t>=</t>
  </si>
  <si>
    <t>𝑥^2=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</si>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</sst>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indexed="64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16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/>
    </xf>
    <xf numFmtId="16" fontId="1" fillId="0" borderId="0" xfId="0" applyNumberFormat="1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1" fillId="2" borderId="0" xfId="0" applyFont="1" applyFill="1" applyAlignment="1">
      <alignment horizontal="left" vertical="top"/>
    </xf>
    <xf numFmtId="16" fontId="1" fillId="2" borderId="0" xfId="0" applyNumberFormat="1" applyFont="1" applyFill="1" applyAlignment="1">
      <alignment horizontal="left" vertical="top"/>
    </xf>
    <xf numFmtId="0" fontId="1" fillId="2" borderId="0" xfId="0" applyFont="1" applyFill="1" applyAlignment="1">
      <alignment horizontal="left"/>
    </xf>
    <xf numFmtId="16" fontId="1" fillId="2" borderId="0" xfId="0" applyNumberFormat="1" applyFont="1" applyFill="1" applyAlignment="1">
      <alignment horizontal="left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left" vertical="top" wrapText="1"/>
    </xf>
    <xf numFmtId="0" fontId="2" fillId="0" borderId="1" xfId="0" applyFont="1" applyBorder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2" fontId="4" fillId="0" borderId="0" xfId="0" applyNumberFormat="1" applyFont="1" applyAlignment="1">
      <alignment vertical="top" wrapText="1"/>
    </xf>
    <xf numFmtId="2" fontId="4" fillId="0" borderId="0" xfId="0" applyNumberFormat="1" applyFont="1" applyAlignment="1">
      <alignment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2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6" fontId="5" fillId="0" borderId="0" xfId="0" applyNumberFormat="1" applyFont="1" applyAlignment="1">
      <alignment horizontal="left" vertical="top"/>
    </xf>
    <xf numFmtId="14" fontId="5" fillId="2" borderId="0" xfId="0" applyNumberFormat="1" applyFont="1" applyFill="1" applyAlignment="1">
      <alignment horizontal="left" vertical="top"/>
    </xf>
    <xf numFmtId="0" fontId="5" fillId="0" borderId="0" xfId="0" applyFont="1"/>
    <xf numFmtId="0" fontId="6" fillId="0" borderId="2" xfId="0" applyFont="1" applyBorder="1" applyAlignment="1">
      <alignment horizontal="centerContinuous"/>
    </xf>
    <xf numFmtId="0" fontId="5" fillId="2" borderId="0" xfId="0" applyFont="1" applyFill="1"/>
    <xf numFmtId="0" fontId="5" fillId="0" borderId="1" xfId="0" applyFont="1" applyBorder="1"/>
    <xf numFmtId="0" fontId="7" fillId="0" borderId="2" xfId="0" applyFont="1" applyBorder="1" applyAlignment="1">
      <alignment horizontal="left" vertical="top" wrapText="1"/>
    </xf>
    <xf numFmtId="0" fontId="8" fillId="0" borderId="1" xfId="0" applyFont="1" applyBorder="1"/>
    <xf numFmtId="0" fontId="9" fillId="0" borderId="1" xfId="0" applyFont="1" applyBorder="1"/>
    <xf numFmtId="10" fontId="5" fillId="0" borderId="0" xfId="0" applyNumberFormat="1" applyFont="1" applyAlignment="1">
      <alignment horizontal="left"/>
    </xf>
    <xf numFmtId="0" fontId="2" fillId="0" borderId="0" xfId="0" applyFont="1"/>
    <xf numFmtId="0" fontId="10" fillId="0" borderId="0" xfId="0" applyFont="1"/>
    <xf numFmtId="0" fontId="2" fillId="2" borderId="0" xfId="0" applyFont="1" applyFill="1"/>
    <xf numFmtId="0" fontId="11" fillId="0" borderId="0" xfId="0" quotePrefix="1" applyFont="1"/>
    <xf numFmtId="0" fontId="2" fillId="0" borderId="0" xfId="0" quotePrefix="1" applyFont="1"/>
    <xf numFmtId="0" fontId="12" fillId="0" borderId="0" xfId="0" applyFont="1"/>
    <xf numFmtId="16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left" vertical="top" wrapText="1"/>
    </xf>
    <xf numFmtId="0" fontId="2" fillId="3" borderId="3" xfId="0" applyFon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165" fontId="0" fillId="0" borderId="3" xfId="0" applyNumberFormat="1" applyBorder="1"/>
    <xf numFmtId="4" fontId="0" fillId="0" borderId="3" xfId="0" applyNumberFormat="1" applyBorder="1"/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left"/>
    </xf>
    <xf numFmtId="0" fontId="6" fillId="3" borderId="5" xfId="0" applyFont="1" applyFill="1" applyBorder="1" applyAlignment="1">
      <alignment horizontal="centerContinuous"/>
    </xf>
    <xf numFmtId="0" fontId="6" fillId="3" borderId="6" xfId="0" applyFont="1" applyFill="1" applyBorder="1" applyAlignment="1">
      <alignment horizontal="centerContinuous"/>
    </xf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</a:t>
            </a:r>
            <a:r>
              <a:rPr lang="en-US" sz="1200" b="1" baseline="0"/>
              <a:t>e for Write-up vs. Total # Errors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5441841102027"/>
          <c:y val="0.12254522238774207"/>
          <c:w val="0.69203701688326869"/>
          <c:h val="0.67743988082570761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scatterplot!$B$1</c:f>
              <c:strCache>
                <c:ptCount val="1"/>
                <c:pt idx="0">
                  <c:v>Total Errors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222704304819044E-2"/>
                  <c:y val="-6.64006999723032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scatterplot!$A$2:$A$8</c:f>
              <c:numCache>
                <c:formatCode>General</c:formatCode>
                <c:ptCount val="7"/>
                <c:pt idx="0">
                  <c:v>16</c:v>
                </c:pt>
                <c:pt idx="1">
                  <c:v>4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16</c:v>
                </c:pt>
              </c:numCache>
            </c:numRef>
          </c:xVal>
          <c:yVal>
            <c:numRef>
              <c:f>scatterplot!$B$2:$B$8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5</c:v>
                </c:pt>
                <c:pt idx="5">
                  <c:v>12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F-442D-8A43-840EF38A8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280504"/>
        <c:axId val="915286736"/>
      </c:scatterChart>
      <c:valAx>
        <c:axId val="91528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for Write-up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86736"/>
        <c:crosses val="autoZero"/>
        <c:crossBetween val="midCat"/>
      </c:valAx>
      <c:valAx>
        <c:axId val="9152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Erros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8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5660978494082"/>
          <c:y val="0.43746399943250336"/>
          <c:w val="0.1699042707786815"/>
          <c:h val="0.3533807652773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77290026246719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scatterplot!$H$1</c:f>
              <c:strCache>
                <c:ptCount val="1"/>
                <c:pt idx="0">
                  <c:v>Total Errors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263123359580051E-2"/>
                  <c:y val="-0.127945465150189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scatterplot!$G$2:$G$7</c:f>
              <c:numCache>
                <c:formatCode>General</c:formatCode>
                <c:ptCount val="6"/>
                <c:pt idx="0">
                  <c:v>24</c:v>
                </c:pt>
                <c:pt idx="1">
                  <c:v>36</c:v>
                </c:pt>
                <c:pt idx="2">
                  <c:v>32</c:v>
                </c:pt>
                <c:pt idx="3">
                  <c:v>32</c:v>
                </c:pt>
                <c:pt idx="4">
                  <c:v>56</c:v>
                </c:pt>
                <c:pt idx="5">
                  <c:v>44</c:v>
                </c:pt>
              </c:numCache>
            </c:numRef>
          </c:xVal>
          <c:yVal>
            <c:numRef>
              <c:f>scatterplot!$H$2:$H$7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5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C-42B5-BC22-957AE441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82928"/>
        <c:axId val="666083256"/>
      </c:scatterChart>
      <c:valAx>
        <c:axId val="66608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3256"/>
        <c:crosses val="autoZero"/>
        <c:crossBetween val="midCat"/>
      </c:valAx>
      <c:valAx>
        <c:axId val="66608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normdist!$E$1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normdist!$D$2:$D$6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normdist!$E$2:$E$6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D-440F-A4F8-E5B9FF5E4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402147104"/>
        <c:axId val="402143168"/>
      </c:barChart>
      <c:catAx>
        <c:axId val="40214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43168"/>
        <c:crosses val="autoZero"/>
        <c:auto val="1"/>
        <c:lblAlgn val="ctr"/>
        <c:lblOffset val="100"/>
        <c:noMultiLvlLbl val="0"/>
      </c:catAx>
      <c:valAx>
        <c:axId val="4021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4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Total Errors by</a:t>
            </a:r>
            <a:r>
              <a:rPr lang="en-US" sz="1200" baseline="0"/>
              <a:t> Reports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7825778534439"/>
          <c:y val="0.28518500036615768"/>
          <c:w val="0.75597219266510607"/>
          <c:h val="0.3905081555956349"/>
        </c:manualLayout>
      </c:layout>
      <c:lineChart>
        <c:grouping val="standard"/>
        <c:varyColors val="0"/>
        <c:ser>
          <c:idx val="0"/>
          <c:order val="0"/>
          <c:tx>
            <c:strRef>
              <c:f>desc_statistics!$V$1</c:f>
              <c:strCache>
                <c:ptCount val="1"/>
                <c:pt idx="0">
                  <c:v>Total Errors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desc_statistics!$V$2:$V$8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5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7-4907-B621-1465418E9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259840"/>
        <c:axId val="915264760"/>
      </c:lineChart>
      <c:catAx>
        <c:axId val="91525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64760"/>
        <c:crosses val="autoZero"/>
        <c:auto val="1"/>
        <c:lblAlgn val="ctr"/>
        <c:lblOffset val="100"/>
        <c:noMultiLvlLbl val="0"/>
      </c:catAx>
      <c:valAx>
        <c:axId val="91526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5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by Analysis Step (in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03149606299217E-2"/>
          <c:y val="0.13930555555555554"/>
          <c:w val="0.69183048993875751"/>
          <c:h val="0.725517279090113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stackedchart!$A$1</c:f>
              <c:strCache>
                <c:ptCount val="1"/>
                <c:pt idx="0">
                  <c:v>Write-up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stackedchart!$A$2:$A$8</c:f>
              <c:numCache>
                <c:formatCode>General</c:formatCode>
                <c:ptCount val="7"/>
                <c:pt idx="0">
                  <c:v>16</c:v>
                </c:pt>
                <c:pt idx="1">
                  <c:v>4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5-4E8F-867B-F3DFD65CEAAB}"/>
            </c:ext>
          </c:extLst>
        </c:ser>
        <c:ser>
          <c:idx val="1"/>
          <c:order val="1"/>
          <c:tx>
            <c:strRef>
              <c:f>stackedchart!$B$1</c:f>
              <c:strCache>
                <c:ptCount val="1"/>
                <c:pt idx="0">
                  <c:v>Shell production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stackedchart!$B$2:$B$8</c:f>
              <c:numCache>
                <c:formatCode>General</c:formatCode>
                <c:ptCount val="7"/>
                <c:pt idx="0">
                  <c:v>16</c:v>
                </c:pt>
                <c:pt idx="1">
                  <c:v>4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5-4E8F-867B-F3DFD65CEAAB}"/>
            </c:ext>
          </c:extLst>
        </c:ser>
        <c:ser>
          <c:idx val="2"/>
          <c:order val="2"/>
          <c:tx>
            <c:strRef>
              <c:f>stackedchart!$C$1</c:f>
              <c:strCache>
                <c:ptCount val="1"/>
                <c:pt idx="0">
                  <c:v>Statistical testing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stackedchart!$C$2:$C$8</c:f>
              <c:numCache>
                <c:formatCode>General</c:formatCode>
                <c:ptCount val="7"/>
                <c:pt idx="0">
                  <c:v>8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5-4E8F-867B-F3DFD65CEAAB}"/>
            </c:ext>
          </c:extLst>
        </c:ser>
        <c:ser>
          <c:idx val="3"/>
          <c:order val="3"/>
          <c:tx>
            <c:strRef>
              <c:f>stackedchart!$D$1</c:f>
              <c:strCache>
                <c:ptCount val="1"/>
                <c:pt idx="0">
                  <c:v>Graph and Appendix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stackedchart!$D$2:$D$8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16</c:v>
                </c:pt>
                <c:pt idx="4">
                  <c:v>32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B5-4E8F-867B-F3DFD65CEAAB}"/>
            </c:ext>
          </c:extLst>
        </c:ser>
        <c:ser>
          <c:idx val="4"/>
          <c:order val="4"/>
          <c:tx>
            <c:strRef>
              <c:f>stackedchart!$E$1</c:f>
              <c:strCache>
                <c:ptCount val="1"/>
                <c:pt idx="0">
                  <c:v>Explore and clean data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stackedchart!$E$2:$E$8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B5-4E8F-867B-F3DFD65CE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01372864"/>
        <c:axId val="1201334488"/>
      </c:barChart>
      <c:catAx>
        <c:axId val="120137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34488"/>
        <c:crosses val="autoZero"/>
        <c:auto val="1"/>
        <c:lblAlgn val="ctr"/>
        <c:lblOffset val="100"/>
        <c:noMultiLvlLbl val="0"/>
      </c:catAx>
      <c:valAx>
        <c:axId val="120133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18919510061247"/>
          <c:y val="0.13359798775153109"/>
          <c:w val="0.19714413823272092"/>
          <c:h val="0.76562773403324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Change in Time</a:t>
            </a:r>
            <a:r>
              <a:rPr lang="en-US" sz="1200" baseline="0"/>
              <a:t> by Analysis Step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stackedchart!$P$4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stackedchart!$O$5:$O$9</c:f>
              <c:strCache>
                <c:ptCount val="5"/>
                <c:pt idx="0">
                  <c:v>Explore and clean </c:v>
                </c:pt>
                <c:pt idx="1">
                  <c:v>Graph and appendix production </c:v>
                </c:pt>
                <c:pt idx="2">
                  <c:v>Statistical testing </c:v>
                </c:pt>
                <c:pt idx="3">
                  <c:v>Shell production hours)</c:v>
                </c:pt>
                <c:pt idx="4">
                  <c:v>Write-up </c:v>
                </c:pt>
              </c:strCache>
            </c:strRef>
          </c:cat>
          <c:val>
            <c:numRef>
              <c:f>stackedchart!$P$5:$P$9</c:f>
              <c:numCache>
                <c:formatCode>General</c:formatCode>
                <c:ptCount val="5"/>
                <c:pt idx="0">
                  <c:v>15</c:v>
                </c:pt>
                <c:pt idx="1">
                  <c:v>19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6-4B5D-9ADF-D69B3FC7C4E6}"/>
            </c:ext>
          </c:extLst>
        </c:ser>
        <c:ser>
          <c:idx val="1"/>
          <c:order val="1"/>
          <c:tx>
            <c:strRef>
              <c:f>stackedchart!$Q$4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stackedchart!$O$5:$O$9</c:f>
              <c:strCache>
                <c:ptCount val="5"/>
                <c:pt idx="0">
                  <c:v>Explore and clean </c:v>
                </c:pt>
                <c:pt idx="1">
                  <c:v>Graph and appendix production </c:v>
                </c:pt>
                <c:pt idx="2">
                  <c:v>Statistical testing </c:v>
                </c:pt>
                <c:pt idx="3">
                  <c:v>Shell production hours)</c:v>
                </c:pt>
                <c:pt idx="4">
                  <c:v>Write-up </c:v>
                </c:pt>
              </c:strCache>
            </c:strRef>
          </c:cat>
          <c:val>
            <c:numRef>
              <c:f>stackedchart!$Q$5:$Q$9</c:f>
              <c:numCache>
                <c:formatCode>General</c:formatCode>
                <c:ptCount val="5"/>
                <c:pt idx="0">
                  <c:v>14</c:v>
                </c:pt>
                <c:pt idx="1">
                  <c:v>18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6-4B5D-9ADF-D69B3FC7C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8683680"/>
        <c:axId val="488681056"/>
      </c:barChart>
      <c:catAx>
        <c:axId val="48868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81056"/>
        <c:crosses val="autoZero"/>
        <c:auto val="1"/>
        <c:lblAlgn val="ctr"/>
        <c:lblOffset val="100"/>
        <c:noMultiLvlLbl val="0"/>
      </c:catAx>
      <c:valAx>
        <c:axId val="4886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controlchart!$N$1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controlchart!$N$2:$N$10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5</c:v>
                </c:pt>
                <c:pt idx="5">
                  <c:v>12</c:v>
                </c:pt>
                <c:pt idx="6">
                  <c:v>12</c:v>
                </c:pt>
                <c:pt idx="7">
                  <c:v>9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E-4A45-9246-37D339F003FC}"/>
            </c:ext>
          </c:extLst>
        </c:ser>
        <c:ser>
          <c:idx val="1"/>
          <c:order val="1"/>
          <c:tx>
            <c:strRef>
              <c:f>controlchart!$O$1</c:f>
              <c:strCache>
                <c:ptCount val="1"/>
                <c:pt idx="0">
                  <c:v>xbar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controlchart!$O$2:$O$10</c:f>
              <c:numCache>
                <c:formatCode>0.00</c:formatCode>
                <c:ptCount val="9"/>
                <c:pt idx="0">
                  <c:v>10.142857142857142</c:v>
                </c:pt>
                <c:pt idx="1">
                  <c:v>10.142857142857142</c:v>
                </c:pt>
                <c:pt idx="2">
                  <c:v>10.142857142857142</c:v>
                </c:pt>
                <c:pt idx="3">
                  <c:v>10.142857142857142</c:v>
                </c:pt>
                <c:pt idx="4">
                  <c:v>10.142857142857142</c:v>
                </c:pt>
                <c:pt idx="5">
                  <c:v>10.142857142857142</c:v>
                </c:pt>
                <c:pt idx="6">
                  <c:v>10.142857142857142</c:v>
                </c:pt>
                <c:pt idx="7">
                  <c:v>10.142857142857142</c:v>
                </c:pt>
                <c:pt idx="8">
                  <c:v>10.142857142857142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E-4A45-9246-37D339F003FC}"/>
            </c:ext>
          </c:extLst>
        </c:ser>
        <c:ser>
          <c:idx val="2"/>
          <c:order val="2"/>
          <c:tx>
            <c:strRef>
              <c:f>controlchart!$P$1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controlchart!$P$2:$P$10</c:f>
              <c:numCache>
                <c:formatCode>0.00</c:formatCode>
                <c:ptCount val="9"/>
                <c:pt idx="0">
                  <c:v>21.66952380952381</c:v>
                </c:pt>
                <c:pt idx="1">
                  <c:v>21.66952380952381</c:v>
                </c:pt>
                <c:pt idx="2">
                  <c:v>21.66952380952381</c:v>
                </c:pt>
                <c:pt idx="3">
                  <c:v>21.66952380952381</c:v>
                </c:pt>
                <c:pt idx="4">
                  <c:v>21.66952380952381</c:v>
                </c:pt>
                <c:pt idx="5">
                  <c:v>21.66952380952381</c:v>
                </c:pt>
                <c:pt idx="6">
                  <c:v>21.66952380952381</c:v>
                </c:pt>
                <c:pt idx="7">
                  <c:v>21.66952380952381</c:v>
                </c:pt>
                <c:pt idx="8">
                  <c:v>21.66952380952381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E-4A45-9246-37D339F003FC}"/>
            </c:ext>
          </c:extLst>
        </c:ser>
        <c:ser>
          <c:idx val="3"/>
          <c:order val="3"/>
          <c:tx>
            <c:strRef>
              <c:f>controlchart!$Q$1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controlchart!$Q$2:$Q$10</c:f>
              <c:numCache>
                <c:formatCode>0.00</c:formatCode>
                <c:ptCount val="9"/>
                <c:pt idx="0">
                  <c:v>-1.3838095238095249</c:v>
                </c:pt>
                <c:pt idx="1">
                  <c:v>-1.3838095238095249</c:v>
                </c:pt>
                <c:pt idx="2">
                  <c:v>-1.3838095238095249</c:v>
                </c:pt>
                <c:pt idx="3">
                  <c:v>-1.3838095238095249</c:v>
                </c:pt>
                <c:pt idx="4">
                  <c:v>-1.3838095238095249</c:v>
                </c:pt>
                <c:pt idx="5">
                  <c:v>-1.3838095238095249</c:v>
                </c:pt>
                <c:pt idx="6">
                  <c:v>-1.3838095238095249</c:v>
                </c:pt>
                <c:pt idx="7">
                  <c:v>-1.3838095238095249</c:v>
                </c:pt>
                <c:pt idx="8">
                  <c:v>-1.3838095238095249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3E-4A45-9246-37D339F00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367944"/>
        <c:axId val="1201375816"/>
      </c:lineChart>
      <c:catAx>
        <c:axId val="120136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75816"/>
        <c:crosses val="autoZero"/>
        <c:auto val="1"/>
        <c:lblAlgn val="ctr"/>
        <c:lblOffset val="100"/>
        <c:noMultiLvlLbl val="0"/>
      </c:catAx>
      <c:valAx>
        <c:axId val="120137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6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Errors Before and After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Errors Before and After</a:t>
          </a:r>
        </a:p>
      </cx:txPr>
    </cx:title>
    <cx:plotArea>
      <cx:plotAreaRegion>
        <cx:series layoutId="boxWhisker" uniqueId="{F71582CC-A936-489E-BF0A-CB3B476EC711}">
          <cx:tx>
            <cx:txData>
              <cx:f>_xlchart.v1.0</cx:f>
              <cx:v>Total Errors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A37E4E-BA36-4C7B-8BE5-BCE33EE72385}">
          <cx:tx>
            <cx:txData>
              <cx:f>_xlchart.v1.2</cx:f>
              <cx:v>Total Errors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00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000"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>
      <cx:tx>
        <cx:txData>
          <cx:v>Total Time Spent by Analysis Step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Time Spent by Analysis Step</a:t>
          </a:r>
        </a:p>
      </cx:txPr>
    </cx:title>
    <cx:plotArea>
      <cx:plotAreaRegion>
        <cx:series layoutId="clusteredColumn" uniqueId="{847017F3-D318-4581-A588-EB6B9095872D}">
          <cx:dataId val="0"/>
          <cx:layoutPr>
            <cx:aggregation/>
          </cx:layoutPr>
          <cx:axisId val="1"/>
        </cx:series>
        <cx:series layoutId="paretoLine" ownerIdx="0" uniqueId="{9ADE71C2-D09E-414C-B741-B9972EF45D46}"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00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000"/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000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2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247650</xdr:rowOff>
    </xdr:from>
    <xdr:to>
      <xdr:col>13</xdr:col>
      <xdr:colOff>504824</xdr:colOff>
      <xdr:row>12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3B1D0-527F-4967-8C4F-15BAD9244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12</xdr:row>
      <xdr:rowOff>128587</xdr:rowOff>
    </xdr:from>
    <xdr:to>
      <xdr:col>13</xdr:col>
      <xdr:colOff>123825</xdr:colOff>
      <xdr:row>27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4405F0-3B87-47DF-A02D-B56CCA022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166495</xdr:colOff>
      <xdr:row>24</xdr:row>
      <xdr:rowOff>27783</xdr:rowOff>
    </xdr:from>
    <xdr:to>
      <xdr:col>14</xdr:col>
      <xdr:colOff>476250</xdr:colOff>
      <xdr:row>51</xdr:row>
      <xdr:rowOff>66675</xdr:rowOff>
    </xdr:to>
    <xdr:pic>
      <xdr:nvPicPr>
        <xdr:cNvPr id="2" name="Picture 1" descr="Image result for chi square table">
          <a:extLst>
            <a:ext uri="{FF2B5EF4-FFF2-40B4-BE49-F238E27FC236}">
              <a16:creationId xmlns:a16="http://schemas.microsoft.com/office/drawing/2014/main" id="{223F8116-61E3-454E-8727-53EA2C3C3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6170" y="5095083"/>
          <a:ext cx="4929380" cy="5182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10</xdr:row>
      <xdr:rowOff>114299</xdr:rowOff>
    </xdr:from>
    <xdr:to>
      <xdr:col>13</xdr:col>
      <xdr:colOff>228599</xdr:colOff>
      <xdr:row>24</xdr:row>
      <xdr:rowOff>33336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B27B5D-42CD-441E-826F-36ED1F39F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20</xdr:row>
      <xdr:rowOff>38100</xdr:rowOff>
    </xdr:from>
    <xdr:to>
      <xdr:col>15</xdr:col>
      <xdr:colOff>390524</xdr:colOff>
      <xdr:row>29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DF3A5A7-E429-4816-86D6-607B57E8F3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8999" y="4048125"/>
              <a:ext cx="3267075" cy="178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28575</xdr:colOff>
      <xdr:row>20</xdr:row>
      <xdr:rowOff>76199</xdr:rowOff>
    </xdr:from>
    <xdr:to>
      <xdr:col>10</xdr:col>
      <xdr:colOff>123825</xdr:colOff>
      <xdr:row>30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11211-E452-483D-885A-47D72F052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14</xdr:row>
      <xdr:rowOff>100012</xdr:rowOff>
    </xdr:from>
    <xdr:to>
      <xdr:col>16</xdr:col>
      <xdr:colOff>314325</xdr:colOff>
      <xdr:row>28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95C0B3-7DB1-45BD-9DE5-46E545E4E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14</xdr:row>
      <xdr:rowOff>0</xdr:rowOff>
    </xdr:from>
    <xdr:to>
      <xdr:col>8</xdr:col>
      <xdr:colOff>361951</xdr:colOff>
      <xdr:row>29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16643FC-33AB-45F9-9675-83873FF552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4143375"/>
              <a:ext cx="5000626" cy="2905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581024</xdr:colOff>
      <xdr:row>11</xdr:row>
      <xdr:rowOff>152400</xdr:rowOff>
    </xdr:from>
    <xdr:to>
      <xdr:col>23</xdr:col>
      <xdr:colOff>19049</xdr:colOff>
      <xdr:row>23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390316-5EEE-435E-A707-5D842ED1C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390525</xdr:colOff>
      <xdr:row>0</xdr:row>
      <xdr:rowOff>142875</xdr:rowOff>
    </xdr:from>
    <xdr:to>
      <xdr:col>26</xdr:col>
      <xdr:colOff>0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33684-6784-4A42-ACB5-8B7B61C8F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523875</xdr:colOff>
      <xdr:row>4</xdr:row>
      <xdr:rowOff>47626</xdr:rowOff>
    </xdr:from>
    <xdr:to>
      <xdr:col>24</xdr:col>
      <xdr:colOff>466725</xdr:colOff>
      <xdr:row>14</xdr:row>
      <xdr:rowOff>104776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15C611A-F610-4F34-8791-07340FBB944B}"/>
            </a:ext>
          </a:extLst>
        </xdr:cNvPr>
        <xdr:cNvSpPr/>
      </xdr:nvSpPr>
      <xdr:spPr>
        <a:xfrm>
          <a:off x="16116300" y="657226"/>
          <a:ext cx="552450" cy="1581150"/>
        </a:xfrm>
        <a:prstGeom prst="rect">
          <a:avLst/>
        </a:prstGeom>
        <a:noFill/>
        <a:ln w="28575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342900</xdr:colOff>
      <xdr:row>16</xdr:row>
      <xdr:rowOff>38100</xdr:rowOff>
    </xdr:from>
    <xdr:to>
      <xdr:col>25</xdr:col>
      <xdr:colOff>266700</xdr:colOff>
      <xdr:row>18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1D85C93-D283-4103-8BBB-2E6B67BA23AB}"/>
            </a:ext>
          </a:extLst>
        </xdr:cNvPr>
        <xdr:cNvSpPr/>
      </xdr:nvSpPr>
      <xdr:spPr>
        <a:xfrm>
          <a:off x="15935325" y="2476500"/>
          <a:ext cx="1143000" cy="409575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ysClr val="windowText" lastClr="000000"/>
              </a:solidFill>
            </a:rPr>
            <a:t>Improve Phase:</a:t>
          </a:r>
        </a:p>
        <a:p>
          <a:pPr algn="ctr"/>
          <a:r>
            <a:rPr lang="en-US" sz="1000" b="1">
              <a:solidFill>
                <a:sysClr val="windowText" lastClr="000000"/>
              </a:solidFill>
            </a:rPr>
            <a:t>Report 8 and 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79A9-B628-495E-B270-5DB4BC007F94}">
  <dimension ref="A1:AE16"/>
  <sheetViews>
    <sheetView tabSelected="1" topLeftCell="C1" zoomScale="85" zoomScaleNormal="85" workbookViewId="0">
      <selection activeCell="D4" sqref="D4"/>
    </sheetView>
  </sheetViews>
  <sheetFormatPr defaultRowHeight="12.75" x14ac:dyDescent="0.2"/>
  <cols>
    <col min="1" max="1" width="9.140625" style="5"/>
    <col min="2" max="2" width="32.140625" style="5" customWidth="1"/>
    <col min="3" max="3" width="7.7109375" style="5" customWidth="1"/>
    <col min="4" max="4" width="9.5703125" style="5" bestFit="1" customWidth="1"/>
    <col min="5" max="5" width="11.85546875" style="5" bestFit="1" customWidth="1"/>
    <col min="6" max="6" width="11.42578125" style="5" customWidth="1"/>
    <col min="7" max="7" width="7.7109375" style="5" customWidth="1"/>
    <col min="8" max="8" width="8.42578125" style="5" customWidth="1"/>
    <col min="9" max="9" width="11" style="5" customWidth="1"/>
    <col min="10" max="12" width="10.7109375" style="5" customWidth="1"/>
    <col min="13" max="13" width="8.42578125" style="5" customWidth="1"/>
    <col min="14" max="15" width="8.28515625" style="5" customWidth="1"/>
    <col min="16" max="16" width="10.7109375" style="5" customWidth="1"/>
    <col min="17" max="17" width="10.85546875" style="5" customWidth="1"/>
    <col min="18" max="20" width="10.7109375" style="5" customWidth="1"/>
    <col min="21" max="21" width="10" style="5" customWidth="1"/>
    <col min="22" max="22" width="9.7109375" style="5" customWidth="1"/>
    <col min="23" max="16384" width="9.140625" style="5"/>
  </cols>
  <sheetData>
    <row r="1" spans="1:31" s="1" customFormat="1" ht="61.5" customHeight="1" x14ac:dyDescent="0.25">
      <c r="A1" s="1" t="s">
        <v>71</v>
      </c>
      <c r="B1" s="1" t="s">
        <v>1</v>
      </c>
      <c r="C1" s="1" t="s">
        <v>3</v>
      </c>
      <c r="D1" s="1" t="s">
        <v>29</v>
      </c>
      <c r="E1" s="1" t="s">
        <v>23</v>
      </c>
      <c r="F1" s="1" t="s">
        <v>2</v>
      </c>
      <c r="G1" s="1" t="s">
        <v>14</v>
      </c>
      <c r="H1" s="1" t="s">
        <v>19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  <c r="P1" s="1" t="s">
        <v>129</v>
      </c>
      <c r="Q1" s="1" t="s">
        <v>26</v>
      </c>
      <c r="R1" s="1" t="s">
        <v>27</v>
      </c>
      <c r="S1" s="1" t="s">
        <v>15</v>
      </c>
      <c r="T1" s="1" t="s">
        <v>130</v>
      </c>
      <c r="U1" s="1" t="s">
        <v>131</v>
      </c>
      <c r="V1" s="1" t="s">
        <v>22</v>
      </c>
      <c r="X1" s="1" t="s">
        <v>122</v>
      </c>
      <c r="Y1" s="1" t="s">
        <v>123</v>
      </c>
      <c r="Z1" s="1" t="s">
        <v>124</v>
      </c>
      <c r="AA1" s="1" t="s">
        <v>125</v>
      </c>
      <c r="AB1" s="1" t="s">
        <v>126</v>
      </c>
      <c r="AC1" s="1" t="s">
        <v>127</v>
      </c>
      <c r="AD1" s="1" t="s">
        <v>128</v>
      </c>
      <c r="AE1" s="1" t="s">
        <v>129</v>
      </c>
    </row>
    <row r="2" spans="1:31" x14ac:dyDescent="0.2">
      <c r="A2" s="5">
        <v>1</v>
      </c>
      <c r="B2" s="2" t="s">
        <v>18</v>
      </c>
      <c r="C2" s="2" t="s">
        <v>17</v>
      </c>
      <c r="D2" s="2">
        <v>2019</v>
      </c>
      <c r="E2" s="2" t="s">
        <v>25</v>
      </c>
      <c r="F2" s="2">
        <v>5856</v>
      </c>
      <c r="G2" s="4">
        <v>43756</v>
      </c>
      <c r="H2" s="4" t="s">
        <v>21</v>
      </c>
      <c r="I2" s="5">
        <v>8</v>
      </c>
      <c r="J2" s="5">
        <v>8</v>
      </c>
      <c r="K2" s="5">
        <v>16</v>
      </c>
      <c r="L2" s="5">
        <v>8</v>
      </c>
      <c r="M2" s="5">
        <v>16</v>
      </c>
      <c r="N2" s="5">
        <v>8</v>
      </c>
      <c r="O2" s="5">
        <v>4</v>
      </c>
      <c r="P2" s="5">
        <v>4</v>
      </c>
      <c r="Q2" s="5">
        <v>6</v>
      </c>
      <c r="R2" s="5">
        <v>2</v>
      </c>
      <c r="S2" s="6">
        <v>43769</v>
      </c>
      <c r="T2" s="5">
        <f t="shared" ref="T2:T10" si="0">SUM(J2:M2)</f>
        <v>48</v>
      </c>
      <c r="U2" s="5">
        <f t="shared" ref="U2:U10" si="1">SUM(I2:P2)</f>
        <v>72</v>
      </c>
      <c r="V2" s="5">
        <f t="shared" ref="V2:V10" si="2">Q2+R2</f>
        <v>8</v>
      </c>
      <c r="X2" s="5">
        <f>I2*8</f>
        <v>64</v>
      </c>
      <c r="Y2" s="5">
        <f t="shared" ref="Y2:AE10" si="3">J2*8</f>
        <v>64</v>
      </c>
      <c r="Z2" s="5">
        <f t="shared" si="3"/>
        <v>128</v>
      </c>
      <c r="AA2" s="5">
        <f t="shared" si="3"/>
        <v>64</v>
      </c>
      <c r="AB2" s="5">
        <f t="shared" si="3"/>
        <v>128</v>
      </c>
      <c r="AC2" s="5">
        <f t="shared" si="3"/>
        <v>64</v>
      </c>
      <c r="AD2" s="5">
        <f t="shared" si="3"/>
        <v>32</v>
      </c>
      <c r="AE2" s="5">
        <f t="shared" si="3"/>
        <v>32</v>
      </c>
    </row>
    <row r="3" spans="1:31" x14ac:dyDescent="0.2">
      <c r="A3" s="5">
        <v>2</v>
      </c>
      <c r="B3" s="2" t="s">
        <v>16</v>
      </c>
      <c r="C3" s="2" t="s">
        <v>17</v>
      </c>
      <c r="D3" s="2">
        <v>2019</v>
      </c>
      <c r="E3" s="3" t="s">
        <v>24</v>
      </c>
      <c r="F3" s="2">
        <v>3822</v>
      </c>
      <c r="G3" s="4">
        <v>43767</v>
      </c>
      <c r="H3" s="4" t="s">
        <v>21</v>
      </c>
      <c r="I3" s="5">
        <v>16</v>
      </c>
      <c r="J3" s="5">
        <v>16</v>
      </c>
      <c r="K3" s="5">
        <v>4</v>
      </c>
      <c r="L3" s="5">
        <v>4</v>
      </c>
      <c r="M3" s="5">
        <v>4</v>
      </c>
      <c r="N3" s="5">
        <v>4</v>
      </c>
      <c r="O3" s="5">
        <v>4</v>
      </c>
      <c r="P3" s="5">
        <v>4</v>
      </c>
      <c r="Q3" s="5">
        <v>3</v>
      </c>
      <c r="R3" s="5">
        <v>4</v>
      </c>
      <c r="S3" s="6">
        <v>43777</v>
      </c>
      <c r="T3" s="5">
        <f t="shared" si="0"/>
        <v>28</v>
      </c>
      <c r="U3" s="5">
        <f t="shared" si="1"/>
        <v>56</v>
      </c>
      <c r="V3" s="5">
        <f t="shared" si="2"/>
        <v>7</v>
      </c>
      <c r="X3" s="5">
        <f t="shared" ref="X3:X10" si="4">I3*8</f>
        <v>128</v>
      </c>
      <c r="Y3" s="5">
        <f t="shared" si="3"/>
        <v>128</v>
      </c>
      <c r="Z3" s="5">
        <f t="shared" si="3"/>
        <v>32</v>
      </c>
      <c r="AA3" s="5">
        <f t="shared" si="3"/>
        <v>32</v>
      </c>
      <c r="AB3" s="5">
        <f t="shared" si="3"/>
        <v>32</v>
      </c>
      <c r="AC3" s="5">
        <f t="shared" si="3"/>
        <v>32</v>
      </c>
      <c r="AD3" s="5">
        <f t="shared" si="3"/>
        <v>32</v>
      </c>
      <c r="AE3" s="5">
        <f t="shared" si="3"/>
        <v>32</v>
      </c>
    </row>
    <row r="4" spans="1:31" x14ac:dyDescent="0.2">
      <c r="A4" s="5">
        <v>3</v>
      </c>
      <c r="B4" s="2" t="s">
        <v>8</v>
      </c>
      <c r="C4" s="2" t="s">
        <v>9</v>
      </c>
      <c r="D4" s="2">
        <v>2019</v>
      </c>
      <c r="E4" s="2" t="s">
        <v>25</v>
      </c>
      <c r="F4" s="2">
        <v>5804</v>
      </c>
      <c r="G4" s="4">
        <v>43798</v>
      </c>
      <c r="H4" s="4" t="s">
        <v>21</v>
      </c>
      <c r="I4" s="5">
        <v>4</v>
      </c>
      <c r="J4" s="5">
        <v>20</v>
      </c>
      <c r="K4" s="5">
        <v>16</v>
      </c>
      <c r="L4" s="5">
        <v>8</v>
      </c>
      <c r="M4" s="5">
        <v>16</v>
      </c>
      <c r="N4" s="5">
        <v>8</v>
      </c>
      <c r="O4" s="5">
        <v>12</v>
      </c>
      <c r="P4" s="5">
        <v>4</v>
      </c>
      <c r="Q4" s="5">
        <v>4</v>
      </c>
      <c r="R4" s="5">
        <v>8</v>
      </c>
      <c r="S4" s="6">
        <v>43813</v>
      </c>
      <c r="T4" s="5">
        <f t="shared" si="0"/>
        <v>60</v>
      </c>
      <c r="U4" s="5">
        <f t="shared" si="1"/>
        <v>88</v>
      </c>
      <c r="V4" s="5">
        <f t="shared" si="2"/>
        <v>12</v>
      </c>
      <c r="X4" s="5">
        <f t="shared" si="4"/>
        <v>32</v>
      </c>
      <c r="Y4" s="5">
        <f t="shared" si="3"/>
        <v>160</v>
      </c>
      <c r="Z4" s="5">
        <f t="shared" si="3"/>
        <v>128</v>
      </c>
      <c r="AA4" s="5">
        <f t="shared" si="3"/>
        <v>64</v>
      </c>
      <c r="AB4" s="5">
        <f t="shared" si="3"/>
        <v>128</v>
      </c>
      <c r="AC4" s="5">
        <f t="shared" si="3"/>
        <v>64</v>
      </c>
      <c r="AD4" s="5">
        <f t="shared" si="3"/>
        <v>96</v>
      </c>
      <c r="AE4" s="5">
        <f t="shared" si="3"/>
        <v>32</v>
      </c>
    </row>
    <row r="5" spans="1:31" x14ac:dyDescent="0.2">
      <c r="A5" s="5">
        <v>4</v>
      </c>
      <c r="B5" s="2" t="s">
        <v>7</v>
      </c>
      <c r="C5" s="2" t="s">
        <v>9</v>
      </c>
      <c r="D5" s="2">
        <v>2019</v>
      </c>
      <c r="E5" s="3" t="s">
        <v>24</v>
      </c>
      <c r="F5" s="2">
        <v>3742</v>
      </c>
      <c r="G5" s="4">
        <v>43826</v>
      </c>
      <c r="H5" s="4" t="s">
        <v>21</v>
      </c>
      <c r="I5" s="5">
        <v>8</v>
      </c>
      <c r="J5" s="5">
        <v>16</v>
      </c>
      <c r="K5" s="5">
        <v>8</v>
      </c>
      <c r="L5" s="5">
        <v>8</v>
      </c>
      <c r="M5" s="5">
        <v>16</v>
      </c>
      <c r="N5" s="5">
        <v>8</v>
      </c>
      <c r="O5" s="5">
        <v>4</v>
      </c>
      <c r="P5" s="5">
        <v>4</v>
      </c>
      <c r="Q5" s="5">
        <v>3</v>
      </c>
      <c r="R5" s="5">
        <v>12</v>
      </c>
      <c r="S5" s="6">
        <v>43476</v>
      </c>
      <c r="T5" s="5">
        <f t="shared" si="0"/>
        <v>48</v>
      </c>
      <c r="U5" s="5">
        <f t="shared" si="1"/>
        <v>72</v>
      </c>
      <c r="V5" s="5">
        <f t="shared" si="2"/>
        <v>15</v>
      </c>
      <c r="X5" s="5">
        <f t="shared" si="4"/>
        <v>64</v>
      </c>
      <c r="Y5" s="5">
        <f t="shared" si="3"/>
        <v>128</v>
      </c>
      <c r="Z5" s="5">
        <f t="shared" si="3"/>
        <v>64</v>
      </c>
      <c r="AA5" s="5">
        <f t="shared" si="3"/>
        <v>64</v>
      </c>
      <c r="AB5" s="5">
        <f t="shared" si="3"/>
        <v>128</v>
      </c>
      <c r="AC5" s="5">
        <f t="shared" si="3"/>
        <v>64</v>
      </c>
      <c r="AD5" s="5">
        <f t="shared" si="3"/>
        <v>32</v>
      </c>
      <c r="AE5" s="5">
        <f t="shared" si="3"/>
        <v>32</v>
      </c>
    </row>
    <row r="6" spans="1:31" x14ac:dyDescent="0.2">
      <c r="A6" s="5">
        <v>5</v>
      </c>
      <c r="B6" s="2" t="s">
        <v>12</v>
      </c>
      <c r="C6" s="2" t="s">
        <v>11</v>
      </c>
      <c r="D6" s="2">
        <v>2019</v>
      </c>
      <c r="E6" s="2" t="s">
        <v>25</v>
      </c>
      <c r="F6" s="2">
        <v>5975</v>
      </c>
      <c r="G6" s="4">
        <v>43472</v>
      </c>
      <c r="H6" s="4" t="s">
        <v>21</v>
      </c>
      <c r="I6" s="5">
        <v>16</v>
      </c>
      <c r="J6" s="5">
        <v>32</v>
      </c>
      <c r="K6" s="5">
        <v>4</v>
      </c>
      <c r="L6" s="5">
        <v>8</v>
      </c>
      <c r="M6" s="5">
        <v>8</v>
      </c>
      <c r="N6" s="5">
        <v>4</v>
      </c>
      <c r="O6" s="5">
        <v>4</v>
      </c>
      <c r="P6" s="5">
        <v>4</v>
      </c>
      <c r="Q6" s="5">
        <v>5</v>
      </c>
      <c r="R6" s="5">
        <v>0</v>
      </c>
      <c r="S6" s="6">
        <v>43486</v>
      </c>
      <c r="T6" s="5">
        <f t="shared" si="0"/>
        <v>52</v>
      </c>
      <c r="U6" s="5">
        <f t="shared" si="1"/>
        <v>80</v>
      </c>
      <c r="V6" s="5">
        <f t="shared" si="2"/>
        <v>5</v>
      </c>
      <c r="X6" s="5">
        <f t="shared" si="4"/>
        <v>128</v>
      </c>
      <c r="Y6" s="5">
        <f t="shared" si="3"/>
        <v>256</v>
      </c>
      <c r="Z6" s="5">
        <f t="shared" si="3"/>
        <v>32</v>
      </c>
      <c r="AA6" s="5">
        <f t="shared" si="3"/>
        <v>64</v>
      </c>
      <c r="AB6" s="5">
        <f t="shared" si="3"/>
        <v>64</v>
      </c>
      <c r="AC6" s="5">
        <f t="shared" si="3"/>
        <v>32</v>
      </c>
      <c r="AD6" s="5">
        <f t="shared" si="3"/>
        <v>32</v>
      </c>
      <c r="AE6" s="5">
        <f t="shared" si="3"/>
        <v>32</v>
      </c>
    </row>
    <row r="7" spans="1:31" x14ac:dyDescent="0.2">
      <c r="A7" s="5">
        <v>6</v>
      </c>
      <c r="B7" s="2" t="s">
        <v>6</v>
      </c>
      <c r="C7" s="2" t="s">
        <v>11</v>
      </c>
      <c r="D7" s="2">
        <v>2019</v>
      </c>
      <c r="E7" s="3" t="s">
        <v>24</v>
      </c>
      <c r="F7" s="2">
        <v>3736</v>
      </c>
      <c r="G7" s="4">
        <v>43483</v>
      </c>
      <c r="H7" s="4" t="s">
        <v>21</v>
      </c>
      <c r="I7" s="5">
        <v>24</v>
      </c>
      <c r="J7" s="5">
        <v>16</v>
      </c>
      <c r="K7" s="5">
        <v>8</v>
      </c>
      <c r="L7" s="5">
        <v>4</v>
      </c>
      <c r="M7" s="5">
        <v>4</v>
      </c>
      <c r="N7" s="5">
        <v>8</v>
      </c>
      <c r="O7" s="5">
        <v>4</v>
      </c>
      <c r="P7" s="5">
        <v>4</v>
      </c>
      <c r="Q7" s="5">
        <v>8</v>
      </c>
      <c r="R7" s="5">
        <v>4</v>
      </c>
      <c r="S7" s="6">
        <v>43496</v>
      </c>
      <c r="T7" s="5">
        <f t="shared" si="0"/>
        <v>32</v>
      </c>
      <c r="U7" s="5">
        <f t="shared" si="1"/>
        <v>72</v>
      </c>
      <c r="V7" s="5">
        <f t="shared" si="2"/>
        <v>12</v>
      </c>
      <c r="X7" s="5">
        <f t="shared" si="4"/>
        <v>192</v>
      </c>
      <c r="Y7" s="5">
        <f t="shared" si="3"/>
        <v>128</v>
      </c>
      <c r="Z7" s="5">
        <f t="shared" si="3"/>
        <v>64</v>
      </c>
      <c r="AA7" s="5">
        <f t="shared" si="3"/>
        <v>32</v>
      </c>
      <c r="AB7" s="5">
        <f t="shared" si="3"/>
        <v>32</v>
      </c>
      <c r="AC7" s="5">
        <f t="shared" si="3"/>
        <v>64</v>
      </c>
      <c r="AD7" s="5">
        <f t="shared" si="3"/>
        <v>32</v>
      </c>
      <c r="AE7" s="5">
        <f t="shared" si="3"/>
        <v>32</v>
      </c>
    </row>
    <row r="8" spans="1:31" x14ac:dyDescent="0.2">
      <c r="A8" s="5">
        <v>7</v>
      </c>
      <c r="B8" s="2" t="s">
        <v>5</v>
      </c>
      <c r="C8" s="3" t="s">
        <v>10</v>
      </c>
      <c r="D8" s="2">
        <v>2019</v>
      </c>
      <c r="E8" s="2" t="s">
        <v>25</v>
      </c>
      <c r="F8" s="2">
        <v>5906</v>
      </c>
      <c r="G8" s="4">
        <v>43481</v>
      </c>
      <c r="H8" s="4" t="s">
        <v>20</v>
      </c>
      <c r="I8" s="5">
        <v>24</v>
      </c>
      <c r="J8" s="5">
        <v>16</v>
      </c>
      <c r="K8" s="5">
        <v>8</v>
      </c>
      <c r="L8" s="5">
        <v>8</v>
      </c>
      <c r="M8" s="5">
        <v>16</v>
      </c>
      <c r="N8" s="5">
        <v>8</v>
      </c>
      <c r="O8" s="5">
        <v>20</v>
      </c>
      <c r="P8" s="5">
        <v>4</v>
      </c>
      <c r="Q8" s="5">
        <v>7</v>
      </c>
      <c r="R8" s="5">
        <v>5</v>
      </c>
      <c r="S8" s="6">
        <v>43500</v>
      </c>
      <c r="T8" s="5">
        <f t="shared" si="0"/>
        <v>48</v>
      </c>
      <c r="U8" s="5">
        <f t="shared" si="1"/>
        <v>104</v>
      </c>
      <c r="V8" s="5">
        <f t="shared" si="2"/>
        <v>12</v>
      </c>
      <c r="X8" s="5">
        <f t="shared" si="4"/>
        <v>192</v>
      </c>
      <c r="Y8" s="5">
        <f t="shared" si="3"/>
        <v>128</v>
      </c>
      <c r="Z8" s="5">
        <f t="shared" si="3"/>
        <v>64</v>
      </c>
      <c r="AA8" s="5">
        <f t="shared" si="3"/>
        <v>64</v>
      </c>
      <c r="AB8" s="5">
        <f t="shared" si="3"/>
        <v>128</v>
      </c>
      <c r="AC8" s="5">
        <f t="shared" si="3"/>
        <v>64</v>
      </c>
      <c r="AD8" s="5">
        <f t="shared" si="3"/>
        <v>160</v>
      </c>
      <c r="AE8" s="5">
        <f t="shared" si="3"/>
        <v>32</v>
      </c>
    </row>
    <row r="9" spans="1:31" x14ac:dyDescent="0.2">
      <c r="A9" s="5">
        <v>8</v>
      </c>
      <c r="B9" s="11" t="s">
        <v>4</v>
      </c>
      <c r="C9" s="33" t="s">
        <v>10</v>
      </c>
      <c r="D9" s="11">
        <v>2019</v>
      </c>
      <c r="E9" s="33" t="s">
        <v>24</v>
      </c>
      <c r="F9" s="11">
        <v>3736</v>
      </c>
      <c r="G9" s="12">
        <v>43489</v>
      </c>
      <c r="H9" s="12" t="s">
        <v>21</v>
      </c>
      <c r="I9" s="13">
        <v>8</v>
      </c>
      <c r="J9" s="13">
        <v>32</v>
      </c>
      <c r="K9" s="13">
        <v>8</v>
      </c>
      <c r="L9" s="13">
        <v>8</v>
      </c>
      <c r="M9" s="13">
        <v>8</v>
      </c>
      <c r="N9" s="13">
        <v>8</v>
      </c>
      <c r="O9" s="13">
        <v>12</v>
      </c>
      <c r="P9" s="13">
        <v>4</v>
      </c>
      <c r="Q9" s="13">
        <v>2</v>
      </c>
      <c r="R9" s="13">
        <v>7</v>
      </c>
      <c r="S9" s="14">
        <v>43504</v>
      </c>
      <c r="T9" s="13">
        <f t="shared" si="0"/>
        <v>56</v>
      </c>
      <c r="U9" s="13">
        <f t="shared" si="1"/>
        <v>88</v>
      </c>
      <c r="V9" s="13">
        <f t="shared" si="2"/>
        <v>9</v>
      </c>
      <c r="X9" s="5">
        <f t="shared" si="4"/>
        <v>64</v>
      </c>
      <c r="Y9" s="5">
        <f t="shared" si="3"/>
        <v>256</v>
      </c>
      <c r="Z9" s="5">
        <f t="shared" si="3"/>
        <v>64</v>
      </c>
      <c r="AA9" s="5">
        <f t="shared" si="3"/>
        <v>64</v>
      </c>
      <c r="AB9" s="5">
        <f t="shared" si="3"/>
        <v>64</v>
      </c>
      <c r="AC9" s="5">
        <f t="shared" si="3"/>
        <v>64</v>
      </c>
      <c r="AD9" s="5">
        <f t="shared" si="3"/>
        <v>96</v>
      </c>
      <c r="AE9" s="5">
        <f t="shared" si="3"/>
        <v>32</v>
      </c>
    </row>
    <row r="10" spans="1:31" x14ac:dyDescent="0.2">
      <c r="A10" s="5">
        <v>9</v>
      </c>
      <c r="B10" s="11" t="s">
        <v>30</v>
      </c>
      <c r="C10" s="11" t="s">
        <v>28</v>
      </c>
      <c r="D10" s="11">
        <v>2019</v>
      </c>
      <c r="E10" s="11" t="s">
        <v>25</v>
      </c>
      <c r="F10" s="11">
        <v>5851</v>
      </c>
      <c r="G10" s="12">
        <v>43517</v>
      </c>
      <c r="H10" s="12" t="s">
        <v>21</v>
      </c>
      <c r="I10" s="13">
        <v>24</v>
      </c>
      <c r="J10" s="13">
        <v>16</v>
      </c>
      <c r="K10" s="13">
        <v>8</v>
      </c>
      <c r="L10" s="13">
        <v>16</v>
      </c>
      <c r="M10" s="13">
        <v>16</v>
      </c>
      <c r="N10" s="13">
        <v>8</v>
      </c>
      <c r="O10" s="13">
        <v>12</v>
      </c>
      <c r="P10" s="13">
        <v>4</v>
      </c>
      <c r="Q10" s="13">
        <v>2</v>
      </c>
      <c r="R10" s="13">
        <v>3</v>
      </c>
      <c r="S10" s="14">
        <v>43532</v>
      </c>
      <c r="T10" s="13">
        <f t="shared" si="0"/>
        <v>56</v>
      </c>
      <c r="U10" s="13">
        <f t="shared" si="1"/>
        <v>104</v>
      </c>
      <c r="V10" s="13">
        <f t="shared" si="2"/>
        <v>5</v>
      </c>
      <c r="X10" s="5">
        <f t="shared" si="4"/>
        <v>192</v>
      </c>
      <c r="Y10" s="5">
        <f t="shared" si="3"/>
        <v>128</v>
      </c>
      <c r="Z10" s="5">
        <f t="shared" si="3"/>
        <v>64</v>
      </c>
      <c r="AA10" s="5">
        <f t="shared" si="3"/>
        <v>128</v>
      </c>
      <c r="AB10" s="5">
        <f t="shared" si="3"/>
        <v>128</v>
      </c>
      <c r="AC10" s="5">
        <f t="shared" si="3"/>
        <v>64</v>
      </c>
      <c r="AD10" s="5">
        <f t="shared" si="3"/>
        <v>96</v>
      </c>
      <c r="AE10" s="5">
        <f t="shared" si="3"/>
        <v>32</v>
      </c>
    </row>
    <row r="11" spans="1:31" x14ac:dyDescent="0.2">
      <c r="B11" s="2"/>
      <c r="C11" s="2"/>
      <c r="D11" s="2"/>
      <c r="E11" s="2"/>
      <c r="F11" s="2"/>
      <c r="G11" s="4"/>
      <c r="H11" s="4"/>
    </row>
    <row r="12" spans="1:31" x14ac:dyDescent="0.2">
      <c r="B12" s="2"/>
      <c r="C12" s="2"/>
      <c r="D12" s="2"/>
      <c r="E12" s="2"/>
      <c r="F12" s="2"/>
      <c r="G12" s="2"/>
      <c r="H12" s="2"/>
      <c r="V12" s="5">
        <f>SUM(V2:V8)</f>
        <v>71</v>
      </c>
    </row>
    <row r="13" spans="1:31" x14ac:dyDescent="0.2">
      <c r="B13" s="2"/>
      <c r="C13" s="2"/>
      <c r="D13" s="2"/>
      <c r="E13" s="2"/>
      <c r="F13" s="2"/>
      <c r="G13" s="2"/>
      <c r="H13" s="2"/>
      <c r="V13" s="5">
        <f>SUM(V2:V10)</f>
        <v>85</v>
      </c>
    </row>
    <row r="14" spans="1:31" x14ac:dyDescent="0.2">
      <c r="B14" s="5" t="s">
        <v>66</v>
      </c>
    </row>
    <row r="16" spans="1:31" x14ac:dyDescent="0.2">
      <c r="B16" s="2"/>
      <c r="C16" s="2"/>
      <c r="D16" s="2"/>
      <c r="E16" s="2"/>
      <c r="F16" s="2"/>
      <c r="G16" s="2"/>
      <c r="H16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FDCA-43C7-4D8D-B9B0-D4E3B618B0C6}">
  <dimension ref="A1:D8"/>
  <sheetViews>
    <sheetView workbookViewId="0">
      <selection activeCell="A22" sqref="A22:A23"/>
    </sheetView>
  </sheetViews>
  <sheetFormatPr defaultRowHeight="15" x14ac:dyDescent="0.25"/>
  <cols>
    <col min="1" max="1" width="52.85546875" bestFit="1" customWidth="1"/>
    <col min="2" max="2" width="8" customWidth="1"/>
    <col min="3" max="3" width="12.85546875" customWidth="1"/>
    <col min="4" max="4" width="15.42578125" customWidth="1"/>
  </cols>
  <sheetData>
    <row r="1" spans="1:4" x14ac:dyDescent="0.25">
      <c r="A1" s="54" t="s">
        <v>134</v>
      </c>
      <c r="B1" s="55"/>
      <c r="C1" s="55" t="s">
        <v>92</v>
      </c>
      <c r="D1" s="55" t="s">
        <v>133</v>
      </c>
    </row>
    <row r="2" spans="1:4" x14ac:dyDescent="0.25">
      <c r="A2" s="56" t="s">
        <v>143</v>
      </c>
      <c r="B2" s="56" t="s">
        <v>107</v>
      </c>
      <c r="C2" s="56">
        <v>25</v>
      </c>
      <c r="D2" s="56">
        <v>25</v>
      </c>
    </row>
    <row r="3" spans="1:4" x14ac:dyDescent="0.25">
      <c r="A3" s="56" t="s">
        <v>144</v>
      </c>
      <c r="B3" s="56" t="s">
        <v>106</v>
      </c>
      <c r="C3" s="56">
        <v>7</v>
      </c>
      <c r="D3" s="56">
        <v>9</v>
      </c>
    </row>
    <row r="4" spans="1:4" x14ac:dyDescent="0.25">
      <c r="A4" s="56" t="s">
        <v>97</v>
      </c>
      <c r="B4" s="56" t="s">
        <v>105</v>
      </c>
      <c r="C4" s="56">
        <f>C2*C3</f>
        <v>175</v>
      </c>
      <c r="D4" s="56">
        <f>D3*D2</f>
        <v>225</v>
      </c>
    </row>
    <row r="5" spans="1:4" x14ac:dyDescent="0.25">
      <c r="A5" s="56" t="s">
        <v>98</v>
      </c>
      <c r="B5" s="56" t="s">
        <v>104</v>
      </c>
      <c r="C5" s="56">
        <v>71</v>
      </c>
      <c r="D5" s="56">
        <v>85</v>
      </c>
    </row>
    <row r="6" spans="1:4" x14ac:dyDescent="0.25">
      <c r="A6" s="56" t="s">
        <v>99</v>
      </c>
      <c r="B6" s="56" t="s">
        <v>103</v>
      </c>
      <c r="C6" s="57">
        <f>C5/C4</f>
        <v>0.40571428571428569</v>
      </c>
      <c r="D6" s="57">
        <f>D5/D4</f>
        <v>0.37777777777777777</v>
      </c>
    </row>
    <row r="7" spans="1:4" x14ac:dyDescent="0.25">
      <c r="A7" s="56" t="s">
        <v>102</v>
      </c>
      <c r="B7" s="56" t="s">
        <v>101</v>
      </c>
      <c r="C7" s="58">
        <f>C6*1000000</f>
        <v>405714.28571428568</v>
      </c>
      <c r="D7" s="58">
        <f>D6*1000000</f>
        <v>377777.77777777775</v>
      </c>
    </row>
    <row r="8" spans="1:4" x14ac:dyDescent="0.25">
      <c r="A8" s="56" t="s">
        <v>100</v>
      </c>
      <c r="B8" s="56" t="s">
        <v>108</v>
      </c>
      <c r="C8" s="56">
        <v>1.7</v>
      </c>
      <c r="D8" s="56">
        <v>1.8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F8CA-C7B9-4170-841F-B5A6AA1CECF0}">
  <dimension ref="A1:AK26"/>
  <sheetViews>
    <sheetView topLeftCell="C1" workbookViewId="0">
      <selection activeCell="K36" sqref="K36"/>
    </sheetView>
  </sheetViews>
  <sheetFormatPr defaultRowHeight="12.75" x14ac:dyDescent="0.2"/>
  <cols>
    <col min="1" max="1" width="10.42578125" style="5" customWidth="1"/>
    <col min="2" max="2" width="7.7109375" style="5" customWidth="1"/>
    <col min="3" max="3" width="9.5703125" style="5" bestFit="1" customWidth="1"/>
    <col min="4" max="4" width="11.85546875" style="5" bestFit="1" customWidth="1"/>
    <col min="5" max="5" width="11.42578125" style="5" customWidth="1"/>
    <col min="6" max="6" width="7.7109375" style="5" customWidth="1"/>
    <col min="7" max="7" width="8.42578125" style="5" customWidth="1"/>
    <col min="8" max="8" width="11" style="5" customWidth="1"/>
    <col min="9" max="11" width="10.7109375" style="5" customWidth="1"/>
    <col min="12" max="12" width="8.42578125" style="5" customWidth="1"/>
    <col min="13" max="14" width="8.28515625" style="5" customWidth="1"/>
    <col min="15" max="15" width="17.7109375" style="5" customWidth="1"/>
    <col min="16" max="16" width="10.85546875" style="5" customWidth="1"/>
    <col min="17" max="19" width="10.7109375" style="5" customWidth="1"/>
    <col min="20" max="20" width="10" style="5" customWidth="1"/>
    <col min="21" max="21" width="18.140625" style="5" bestFit="1" customWidth="1"/>
    <col min="22" max="30" width="9.140625" style="5"/>
    <col min="31" max="31" width="11.42578125" style="5" customWidth="1"/>
    <col min="32" max="32" width="9.140625" style="5"/>
    <col min="33" max="34" width="11" style="5" customWidth="1"/>
    <col min="35" max="35" width="9.7109375" style="5" customWidth="1"/>
    <col min="36" max="16384" width="9.140625" style="5"/>
  </cols>
  <sheetData>
    <row r="1" spans="1:37" s="1" customFormat="1" ht="61.5" customHeight="1" x14ac:dyDescent="0.25">
      <c r="A1" s="1" t="s">
        <v>71</v>
      </c>
      <c r="B1" s="1" t="s">
        <v>1</v>
      </c>
      <c r="C1" s="1" t="s">
        <v>3</v>
      </c>
      <c r="D1" s="1" t="s">
        <v>29</v>
      </c>
      <c r="E1" s="1" t="s">
        <v>23</v>
      </c>
      <c r="F1" s="1" t="s">
        <v>2</v>
      </c>
      <c r="G1" s="1" t="s">
        <v>14</v>
      </c>
      <c r="H1" s="1" t="s">
        <v>19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  <c r="P1" s="1" t="s">
        <v>129</v>
      </c>
      <c r="Q1" s="1" t="s">
        <v>26</v>
      </c>
      <c r="R1" s="1" t="s">
        <v>27</v>
      </c>
      <c r="S1" s="1" t="s">
        <v>15</v>
      </c>
      <c r="T1" s="1" t="s">
        <v>130</v>
      </c>
      <c r="U1" s="1" t="s">
        <v>131</v>
      </c>
      <c r="V1" s="1" t="s">
        <v>22</v>
      </c>
      <c r="X1" s="1" t="s">
        <v>122</v>
      </c>
      <c r="Y1" s="1" t="s">
        <v>123</v>
      </c>
      <c r="Z1" s="1" t="s">
        <v>124</v>
      </c>
      <c r="AA1" s="1" t="s">
        <v>125</v>
      </c>
      <c r="AB1" s="1" t="s">
        <v>126</v>
      </c>
      <c r="AC1" s="1" t="s">
        <v>22</v>
      </c>
      <c r="AD1" s="15"/>
      <c r="AE1" s="17"/>
      <c r="AF1" s="41" t="s">
        <v>122</v>
      </c>
      <c r="AG1" s="41" t="s">
        <v>123</v>
      </c>
      <c r="AH1" s="17" t="s">
        <v>132</v>
      </c>
      <c r="AI1" s="17" t="s">
        <v>125</v>
      </c>
      <c r="AJ1" s="41" t="s">
        <v>126</v>
      </c>
      <c r="AK1" s="17" t="s">
        <v>22</v>
      </c>
    </row>
    <row r="2" spans="1:37" ht="15" hidden="1" x14ac:dyDescent="0.25">
      <c r="A2" s="5">
        <v>1</v>
      </c>
      <c r="B2" s="2" t="s">
        <v>18</v>
      </c>
      <c r="C2" s="2" t="s">
        <v>17</v>
      </c>
      <c r="D2" s="2">
        <v>2019</v>
      </c>
      <c r="E2" s="2" t="s">
        <v>25</v>
      </c>
      <c r="F2" s="2">
        <v>5856</v>
      </c>
      <c r="G2" s="4">
        <v>43756</v>
      </c>
      <c r="H2" s="4" t="s">
        <v>21</v>
      </c>
      <c r="I2" s="5">
        <v>1</v>
      </c>
      <c r="J2" s="5">
        <v>1</v>
      </c>
      <c r="K2" s="5">
        <v>2</v>
      </c>
      <c r="L2" s="5">
        <v>1</v>
      </c>
      <c r="M2" s="5">
        <v>2</v>
      </c>
      <c r="N2" s="5">
        <v>1</v>
      </c>
      <c r="O2" s="5">
        <v>0.5</v>
      </c>
      <c r="P2" s="5">
        <v>0.5</v>
      </c>
      <c r="Q2" s="5">
        <v>6</v>
      </c>
      <c r="R2" s="5">
        <v>2</v>
      </c>
      <c r="S2" s="6">
        <v>43769</v>
      </c>
      <c r="T2" s="5">
        <f t="shared" ref="T2:T10" si="0">SUM(J2:M2)</f>
        <v>6</v>
      </c>
      <c r="U2" s="5">
        <f t="shared" ref="U2:U10" si="1">SUM(I2:P2)</f>
        <v>9</v>
      </c>
      <c r="V2" s="5">
        <f t="shared" ref="V2:V10" si="2">Q2+R2</f>
        <v>8</v>
      </c>
      <c r="X2" s="5">
        <v>1</v>
      </c>
      <c r="Y2" s="5">
        <v>1</v>
      </c>
      <c r="Z2" s="5">
        <v>2</v>
      </c>
      <c r="AA2" s="5">
        <v>1</v>
      </c>
      <c r="AB2" s="5">
        <v>2</v>
      </c>
      <c r="AC2" s="5">
        <v>8</v>
      </c>
      <c r="AD2" s="15"/>
      <c r="AE2" t="s">
        <v>122</v>
      </c>
      <c r="AF2">
        <v>1</v>
      </c>
      <c r="AG2"/>
      <c r="AH2"/>
      <c r="AI2"/>
      <c r="AJ2"/>
      <c r="AK2"/>
    </row>
    <row r="3" spans="1:37" ht="15" hidden="1" x14ac:dyDescent="0.25">
      <c r="A3" s="5">
        <v>2</v>
      </c>
      <c r="B3" s="2" t="s">
        <v>16</v>
      </c>
      <c r="C3" s="2" t="s">
        <v>17</v>
      </c>
      <c r="D3" s="2">
        <v>2019</v>
      </c>
      <c r="E3" s="3" t="s">
        <v>24</v>
      </c>
      <c r="F3" s="2">
        <v>3822</v>
      </c>
      <c r="G3" s="4">
        <v>43767</v>
      </c>
      <c r="H3" s="4" t="s">
        <v>21</v>
      </c>
      <c r="I3" s="5">
        <v>2</v>
      </c>
      <c r="J3" s="5">
        <v>2</v>
      </c>
      <c r="K3" s="5">
        <v>0.5</v>
      </c>
      <c r="L3" s="5">
        <v>0.5</v>
      </c>
      <c r="M3" s="5">
        <v>0.5</v>
      </c>
      <c r="N3" s="5">
        <v>0.5</v>
      </c>
      <c r="O3" s="5">
        <v>0.5</v>
      </c>
      <c r="P3" s="5">
        <v>0.5</v>
      </c>
      <c r="Q3" s="5">
        <v>3</v>
      </c>
      <c r="R3" s="5">
        <v>4</v>
      </c>
      <c r="S3" s="6">
        <v>43777</v>
      </c>
      <c r="T3" s="5">
        <f t="shared" si="0"/>
        <v>3.5</v>
      </c>
      <c r="U3" s="5">
        <f t="shared" si="1"/>
        <v>7</v>
      </c>
      <c r="V3" s="5">
        <f t="shared" si="2"/>
        <v>7</v>
      </c>
      <c r="X3" s="5">
        <v>2</v>
      </c>
      <c r="Y3" s="5">
        <v>2</v>
      </c>
      <c r="Z3" s="5">
        <v>0.5</v>
      </c>
      <c r="AA3" s="5">
        <v>0.5</v>
      </c>
      <c r="AB3" s="5">
        <v>0.5</v>
      </c>
      <c r="AC3" s="5">
        <v>7</v>
      </c>
      <c r="AD3" s="15"/>
      <c r="AE3" t="s">
        <v>123</v>
      </c>
      <c r="AF3">
        <v>0.10571251261749631</v>
      </c>
      <c r="AG3">
        <v>1</v>
      </c>
      <c r="AH3"/>
      <c r="AI3"/>
      <c r="AJ3"/>
      <c r="AK3"/>
    </row>
    <row r="4" spans="1:37" ht="15" hidden="1" x14ac:dyDescent="0.25">
      <c r="A4" s="5">
        <v>3</v>
      </c>
      <c r="B4" s="2" t="s">
        <v>8</v>
      </c>
      <c r="C4" s="2" t="s">
        <v>9</v>
      </c>
      <c r="D4" s="2">
        <v>2019</v>
      </c>
      <c r="E4" s="2" t="s">
        <v>25</v>
      </c>
      <c r="F4" s="2">
        <v>5804</v>
      </c>
      <c r="G4" s="4">
        <v>43798</v>
      </c>
      <c r="H4" s="4" t="s">
        <v>21</v>
      </c>
      <c r="I4" s="5">
        <v>0.5</v>
      </c>
      <c r="J4" s="5">
        <v>2.5</v>
      </c>
      <c r="K4" s="5">
        <v>2</v>
      </c>
      <c r="L4" s="5">
        <v>1</v>
      </c>
      <c r="M4" s="5">
        <v>2</v>
      </c>
      <c r="N4" s="5">
        <v>1</v>
      </c>
      <c r="O4" s="5">
        <v>1.5</v>
      </c>
      <c r="P4" s="5">
        <v>0.5</v>
      </c>
      <c r="Q4" s="5">
        <v>4</v>
      </c>
      <c r="R4" s="5">
        <v>8</v>
      </c>
      <c r="S4" s="6">
        <v>43813</v>
      </c>
      <c r="T4" s="5">
        <f t="shared" si="0"/>
        <v>7.5</v>
      </c>
      <c r="U4" s="5">
        <f t="shared" si="1"/>
        <v>11</v>
      </c>
      <c r="V4" s="5">
        <f t="shared" si="2"/>
        <v>12</v>
      </c>
      <c r="X4" s="5">
        <v>0.5</v>
      </c>
      <c r="Y4" s="5">
        <v>2.5</v>
      </c>
      <c r="Z4" s="5">
        <v>2</v>
      </c>
      <c r="AA4" s="5">
        <v>1</v>
      </c>
      <c r="AB4" s="5">
        <v>2</v>
      </c>
      <c r="AC4" s="5">
        <v>12</v>
      </c>
      <c r="AD4" s="15"/>
      <c r="AE4" t="s">
        <v>124</v>
      </c>
      <c r="AF4">
        <v>-0.61144016277494684</v>
      </c>
      <c r="AG4">
        <v>-0.50295569076954527</v>
      </c>
      <c r="AH4">
        <v>1</v>
      </c>
      <c r="AI4"/>
      <c r="AJ4"/>
      <c r="AK4"/>
    </row>
    <row r="5" spans="1:37" ht="15" hidden="1" x14ac:dyDescent="0.25">
      <c r="A5" s="5">
        <v>4</v>
      </c>
      <c r="B5" s="2" t="s">
        <v>7</v>
      </c>
      <c r="C5" s="2" t="s">
        <v>9</v>
      </c>
      <c r="D5" s="2">
        <v>2019</v>
      </c>
      <c r="E5" s="3" t="s">
        <v>24</v>
      </c>
      <c r="F5" s="2">
        <v>3742</v>
      </c>
      <c r="G5" s="4">
        <v>43826</v>
      </c>
      <c r="H5" s="4" t="s">
        <v>21</v>
      </c>
      <c r="I5" s="5">
        <v>1</v>
      </c>
      <c r="J5" s="5">
        <v>2</v>
      </c>
      <c r="K5" s="5">
        <v>1</v>
      </c>
      <c r="L5" s="5">
        <v>1</v>
      </c>
      <c r="M5" s="5">
        <v>2</v>
      </c>
      <c r="N5" s="5">
        <v>1</v>
      </c>
      <c r="O5" s="5">
        <v>0.5</v>
      </c>
      <c r="P5" s="5">
        <v>0.5</v>
      </c>
      <c r="Q5" s="5">
        <v>3</v>
      </c>
      <c r="R5" s="5">
        <v>12</v>
      </c>
      <c r="S5" s="6">
        <v>43476</v>
      </c>
      <c r="T5" s="5">
        <f t="shared" si="0"/>
        <v>6</v>
      </c>
      <c r="U5" s="5">
        <f t="shared" si="1"/>
        <v>9</v>
      </c>
      <c r="V5" s="5">
        <f t="shared" si="2"/>
        <v>15</v>
      </c>
      <c r="X5" s="5">
        <v>1</v>
      </c>
      <c r="Y5" s="5">
        <v>2</v>
      </c>
      <c r="Z5" s="5">
        <v>1</v>
      </c>
      <c r="AA5" s="5">
        <v>1</v>
      </c>
      <c r="AB5" s="5">
        <v>2</v>
      </c>
      <c r="AC5" s="5">
        <v>15</v>
      </c>
      <c r="AD5" s="15"/>
      <c r="AE5" t="s">
        <v>125</v>
      </c>
      <c r="AF5">
        <v>-0.49088069367381593</v>
      </c>
      <c r="AG5">
        <v>0.16151457061744964</v>
      </c>
      <c r="AH5">
        <v>0.42817441928883754</v>
      </c>
      <c r="AI5">
        <v>1</v>
      </c>
      <c r="AJ5"/>
      <c r="AK5"/>
    </row>
    <row r="6" spans="1:37" ht="15" hidden="1" x14ac:dyDescent="0.25">
      <c r="A6" s="5">
        <v>5</v>
      </c>
      <c r="B6" s="2" t="s">
        <v>12</v>
      </c>
      <c r="C6" s="2" t="s">
        <v>11</v>
      </c>
      <c r="D6" s="2">
        <v>2019</v>
      </c>
      <c r="E6" s="2" t="s">
        <v>25</v>
      </c>
      <c r="F6" s="2">
        <v>5975</v>
      </c>
      <c r="G6" s="4">
        <v>43472</v>
      </c>
      <c r="H6" s="4" t="s">
        <v>21</v>
      </c>
      <c r="I6" s="5">
        <v>2</v>
      </c>
      <c r="J6" s="5">
        <v>4</v>
      </c>
      <c r="K6" s="5">
        <v>0.5</v>
      </c>
      <c r="L6" s="5">
        <v>1</v>
      </c>
      <c r="M6" s="5">
        <v>1</v>
      </c>
      <c r="N6" s="5">
        <v>0.5</v>
      </c>
      <c r="O6" s="5">
        <v>0.5</v>
      </c>
      <c r="P6" s="5">
        <v>0.5</v>
      </c>
      <c r="Q6" s="5">
        <v>5</v>
      </c>
      <c r="R6" s="5">
        <v>0</v>
      </c>
      <c r="S6" s="6">
        <v>43486</v>
      </c>
      <c r="T6" s="5">
        <f t="shared" si="0"/>
        <v>6.5</v>
      </c>
      <c r="U6" s="5">
        <f t="shared" si="1"/>
        <v>10</v>
      </c>
      <c r="V6" s="5">
        <f t="shared" si="2"/>
        <v>5</v>
      </c>
      <c r="X6" s="5">
        <v>2</v>
      </c>
      <c r="Y6" s="5">
        <v>4</v>
      </c>
      <c r="Z6" s="5">
        <v>0.5</v>
      </c>
      <c r="AA6" s="5">
        <v>1</v>
      </c>
      <c r="AB6" s="5">
        <v>1</v>
      </c>
      <c r="AC6" s="5">
        <v>5</v>
      </c>
      <c r="AD6" s="15"/>
      <c r="AE6" t="s">
        <v>126</v>
      </c>
      <c r="AF6">
        <v>-0.53996876304119756</v>
      </c>
      <c r="AG6">
        <v>-0.28713701443102163</v>
      </c>
      <c r="AH6">
        <v>0.66172410253729463</v>
      </c>
      <c r="AI6">
        <v>0.86666666666666647</v>
      </c>
      <c r="AJ6">
        <v>1</v>
      </c>
      <c r="AK6"/>
    </row>
    <row r="7" spans="1:37" ht="21.75" thickBot="1" x14ac:dyDescent="0.4">
      <c r="A7" s="5">
        <v>6</v>
      </c>
      <c r="B7" s="2" t="s">
        <v>6</v>
      </c>
      <c r="C7" s="2" t="s">
        <v>11</v>
      </c>
      <c r="D7" s="2">
        <v>2019</v>
      </c>
      <c r="E7" s="3" t="s">
        <v>24</v>
      </c>
      <c r="F7" s="2">
        <v>3736</v>
      </c>
      <c r="G7" s="4">
        <v>43483</v>
      </c>
      <c r="H7" s="4" t="s">
        <v>21</v>
      </c>
      <c r="I7" s="5">
        <v>3</v>
      </c>
      <c r="J7" s="5">
        <v>2</v>
      </c>
      <c r="K7" s="5">
        <v>1</v>
      </c>
      <c r="L7" s="5">
        <v>0.5</v>
      </c>
      <c r="M7" s="5">
        <v>0.5</v>
      </c>
      <c r="N7" s="5">
        <v>1</v>
      </c>
      <c r="O7" s="5">
        <v>0.5</v>
      </c>
      <c r="P7" s="5">
        <v>0.5</v>
      </c>
      <c r="Q7" s="5">
        <v>8</v>
      </c>
      <c r="R7" s="5">
        <v>4</v>
      </c>
      <c r="S7" s="6">
        <v>43496</v>
      </c>
      <c r="T7" s="5">
        <f t="shared" si="0"/>
        <v>4</v>
      </c>
      <c r="U7" s="5">
        <f t="shared" si="1"/>
        <v>9</v>
      </c>
      <c r="V7" s="5">
        <f t="shared" si="2"/>
        <v>12</v>
      </c>
      <c r="X7" s="5">
        <v>3</v>
      </c>
      <c r="Y7" s="5">
        <v>2</v>
      </c>
      <c r="Z7" s="5">
        <v>1</v>
      </c>
      <c r="AA7" s="5">
        <v>0.5</v>
      </c>
      <c r="AB7" s="5">
        <v>0.5</v>
      </c>
      <c r="AC7" s="5">
        <v>12</v>
      </c>
      <c r="AD7" s="15"/>
      <c r="AE7" s="18" t="s">
        <v>22</v>
      </c>
      <c r="AF7" s="42">
        <v>-8.4765732861152479E-2</v>
      </c>
      <c r="AG7" s="42">
        <v>-0.37559187351247575</v>
      </c>
      <c r="AH7" s="43">
        <v>0.29037294452456613</v>
      </c>
      <c r="AI7" s="43">
        <v>0.124330266898996</v>
      </c>
      <c r="AJ7" s="42">
        <v>0.45587764529631858</v>
      </c>
      <c r="AK7" s="43">
        <v>1</v>
      </c>
    </row>
    <row r="8" spans="1:37" x14ac:dyDescent="0.2">
      <c r="A8" s="5">
        <v>7</v>
      </c>
      <c r="B8" s="2" t="s">
        <v>5</v>
      </c>
      <c r="C8" s="3" t="s">
        <v>10</v>
      </c>
      <c r="D8" s="2">
        <v>2019</v>
      </c>
      <c r="E8" s="2" t="s">
        <v>25</v>
      </c>
      <c r="F8" s="2">
        <v>5906</v>
      </c>
      <c r="G8" s="4">
        <v>43481</v>
      </c>
      <c r="H8" s="4" t="s">
        <v>20</v>
      </c>
      <c r="I8" s="5">
        <v>3</v>
      </c>
      <c r="J8" s="5">
        <v>2</v>
      </c>
      <c r="K8" s="5">
        <v>1</v>
      </c>
      <c r="L8" s="5">
        <v>1</v>
      </c>
      <c r="M8" s="5">
        <v>2</v>
      </c>
      <c r="N8" s="5">
        <v>1</v>
      </c>
      <c r="O8" s="5">
        <v>2.5</v>
      </c>
      <c r="P8" s="5">
        <v>0.5</v>
      </c>
      <c r="Q8" s="5">
        <v>7</v>
      </c>
      <c r="R8" s="5">
        <v>5</v>
      </c>
      <c r="S8" s="6">
        <v>43500</v>
      </c>
      <c r="T8" s="5">
        <f t="shared" si="0"/>
        <v>6</v>
      </c>
      <c r="U8" s="5">
        <f t="shared" si="1"/>
        <v>13</v>
      </c>
      <c r="V8" s="5">
        <f t="shared" si="2"/>
        <v>12</v>
      </c>
      <c r="X8" s="5">
        <v>3</v>
      </c>
      <c r="Y8" s="5">
        <v>2</v>
      </c>
      <c r="Z8" s="5">
        <v>1</v>
      </c>
      <c r="AA8" s="5">
        <v>1</v>
      </c>
      <c r="AB8" s="5">
        <v>2</v>
      </c>
      <c r="AC8" s="5">
        <v>12</v>
      </c>
      <c r="AD8" s="15"/>
    </row>
    <row r="9" spans="1:37" x14ac:dyDescent="0.2">
      <c r="A9" s="5">
        <v>8</v>
      </c>
      <c r="B9" s="11" t="s">
        <v>4</v>
      </c>
      <c r="C9" s="33" t="s">
        <v>10</v>
      </c>
      <c r="D9" s="11">
        <v>2019</v>
      </c>
      <c r="E9" s="33" t="s">
        <v>24</v>
      </c>
      <c r="F9" s="11">
        <v>3736</v>
      </c>
      <c r="G9" s="12">
        <v>43489</v>
      </c>
      <c r="H9" s="12" t="s">
        <v>21</v>
      </c>
      <c r="I9" s="13">
        <v>1</v>
      </c>
      <c r="J9" s="13">
        <v>4</v>
      </c>
      <c r="K9" s="13">
        <v>1</v>
      </c>
      <c r="L9" s="13">
        <v>1</v>
      </c>
      <c r="M9" s="13">
        <v>1</v>
      </c>
      <c r="N9" s="13">
        <v>1</v>
      </c>
      <c r="O9" s="13">
        <v>1.5</v>
      </c>
      <c r="P9" s="13">
        <v>0.5</v>
      </c>
      <c r="Q9" s="13">
        <v>2</v>
      </c>
      <c r="R9" s="13">
        <v>7</v>
      </c>
      <c r="S9" s="14">
        <v>43504</v>
      </c>
      <c r="T9" s="13">
        <f t="shared" si="0"/>
        <v>7</v>
      </c>
      <c r="U9" s="13">
        <f t="shared" si="1"/>
        <v>11</v>
      </c>
      <c r="V9" s="13">
        <f t="shared" si="2"/>
        <v>9</v>
      </c>
      <c r="AD9" s="15"/>
    </row>
    <row r="10" spans="1:37" x14ac:dyDescent="0.2">
      <c r="A10" s="5">
        <v>9</v>
      </c>
      <c r="B10" s="11" t="s">
        <v>30</v>
      </c>
      <c r="C10" s="11" t="s">
        <v>28</v>
      </c>
      <c r="D10" s="11">
        <v>2019</v>
      </c>
      <c r="E10" s="11" t="s">
        <v>25</v>
      </c>
      <c r="F10" s="11">
        <v>5851</v>
      </c>
      <c r="G10" s="12">
        <v>43517</v>
      </c>
      <c r="H10" s="12" t="s">
        <v>21</v>
      </c>
      <c r="I10" s="13">
        <v>3</v>
      </c>
      <c r="J10" s="13">
        <v>2</v>
      </c>
      <c r="K10" s="13">
        <v>1</v>
      </c>
      <c r="L10" s="13">
        <v>2</v>
      </c>
      <c r="M10" s="13">
        <v>2</v>
      </c>
      <c r="N10" s="13">
        <v>1</v>
      </c>
      <c r="O10" s="13">
        <v>1.5</v>
      </c>
      <c r="P10" s="13">
        <v>0.5</v>
      </c>
      <c r="Q10" s="13">
        <v>2</v>
      </c>
      <c r="R10" s="13">
        <v>3</v>
      </c>
      <c r="S10" s="14">
        <v>43535</v>
      </c>
      <c r="T10" s="13">
        <f t="shared" si="0"/>
        <v>7</v>
      </c>
      <c r="U10" s="13">
        <f t="shared" si="1"/>
        <v>13</v>
      </c>
      <c r="V10" s="13">
        <f t="shared" si="2"/>
        <v>5</v>
      </c>
    </row>
    <row r="11" spans="1:37" x14ac:dyDescent="0.2">
      <c r="A11" s="2"/>
      <c r="B11" s="2"/>
      <c r="C11" s="2"/>
      <c r="D11" s="2"/>
      <c r="E11" s="2"/>
      <c r="F11" s="4"/>
      <c r="G11" s="4"/>
    </row>
    <row r="12" spans="1:37" x14ac:dyDescent="0.2">
      <c r="A12" s="2"/>
      <c r="B12" s="2"/>
      <c r="C12" s="2"/>
      <c r="D12" s="2"/>
      <c r="E12" s="2"/>
      <c r="F12" s="2"/>
      <c r="G12" s="2"/>
    </row>
    <row r="13" spans="1:37" x14ac:dyDescent="0.2">
      <c r="A13" s="2"/>
      <c r="B13" s="2"/>
      <c r="C13" s="2"/>
      <c r="D13" s="2"/>
      <c r="E13" s="2"/>
      <c r="F13" s="2"/>
      <c r="G13" s="2"/>
    </row>
    <row r="14" spans="1:37" x14ac:dyDescent="0.2">
      <c r="A14" s="5" t="s">
        <v>66</v>
      </c>
    </row>
    <row r="16" spans="1:37" x14ac:dyDescent="0.2">
      <c r="A16" s="2"/>
      <c r="B16" s="2"/>
    </row>
    <row r="17" spans="15:25" ht="15" x14ac:dyDescent="0.25">
      <c r="Q17" s="16"/>
      <c r="R17" s="16"/>
      <c r="S17" s="16"/>
      <c r="T17" s="16"/>
      <c r="U17" s="16"/>
      <c r="V17" s="16"/>
      <c r="W17" s="16"/>
      <c r="X17" s="16"/>
      <c r="Y17" s="16"/>
    </row>
    <row r="18" spans="15:25" ht="15" x14ac:dyDescent="0.25">
      <c r="Q18"/>
      <c r="R18"/>
      <c r="S18"/>
      <c r="T18"/>
      <c r="U18"/>
      <c r="V18"/>
      <c r="W18"/>
      <c r="X18"/>
      <c r="Y18"/>
    </row>
    <row r="19" spans="15:25" ht="15" x14ac:dyDescent="0.25">
      <c r="Q19"/>
      <c r="R19"/>
      <c r="S19"/>
      <c r="T19"/>
      <c r="U19"/>
      <c r="V19"/>
      <c r="W19"/>
      <c r="X19"/>
      <c r="Y19"/>
    </row>
    <row r="20" spans="15:25" ht="15" x14ac:dyDescent="0.25">
      <c r="Q20"/>
      <c r="R20"/>
      <c r="S20"/>
      <c r="T20"/>
      <c r="U20"/>
      <c r="V20"/>
      <c r="W20"/>
      <c r="X20"/>
      <c r="Y20"/>
    </row>
    <row r="21" spans="15:25" ht="15" x14ac:dyDescent="0.25">
      <c r="Q21"/>
      <c r="R21"/>
      <c r="S21"/>
      <c r="T21"/>
      <c r="U21"/>
      <c r="V21"/>
      <c r="W21"/>
      <c r="X21"/>
      <c r="Y21"/>
    </row>
    <row r="22" spans="15:25" ht="15" x14ac:dyDescent="0.25">
      <c r="Q22"/>
      <c r="R22"/>
      <c r="S22"/>
      <c r="T22"/>
      <c r="U22"/>
      <c r="V22"/>
      <c r="W22"/>
      <c r="X22"/>
      <c r="Y22"/>
    </row>
    <row r="23" spans="15:25" ht="15" x14ac:dyDescent="0.25">
      <c r="Q23"/>
      <c r="R23"/>
      <c r="S23"/>
      <c r="T23"/>
      <c r="U23"/>
      <c r="V23"/>
      <c r="W23"/>
      <c r="X23"/>
      <c r="Y23"/>
    </row>
    <row r="24" spans="15:25" ht="15" x14ac:dyDescent="0.25">
      <c r="Q24"/>
      <c r="R24"/>
      <c r="S24"/>
      <c r="T24"/>
      <c r="U24"/>
      <c r="V24"/>
      <c r="W24"/>
      <c r="X24"/>
      <c r="Y24"/>
    </row>
    <row r="25" spans="15:25" ht="15" x14ac:dyDescent="0.25">
      <c r="O25"/>
      <c r="P25"/>
      <c r="Q25"/>
      <c r="R25"/>
      <c r="S25"/>
      <c r="T25"/>
      <c r="U25"/>
      <c r="V25"/>
      <c r="W25"/>
      <c r="X25"/>
      <c r="Y25"/>
    </row>
    <row r="26" spans="15:25" ht="15" x14ac:dyDescent="0.25">
      <c r="O26"/>
      <c r="P26"/>
      <c r="Q26"/>
      <c r="R26"/>
      <c r="S26"/>
      <c r="T26"/>
      <c r="U26"/>
      <c r="V26"/>
      <c r="W26"/>
      <c r="X26"/>
      <c r="Y26"/>
    </row>
  </sheetData>
  <conditionalFormatting sqref="P25:Y26 X18:Y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W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K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BC9C-78D2-4470-A3E1-477EBA6F7B00}">
  <dimension ref="A1:Q15"/>
  <sheetViews>
    <sheetView workbookViewId="0">
      <selection activeCell="H34" sqref="H34"/>
    </sheetView>
  </sheetViews>
  <sheetFormatPr defaultRowHeight="12" x14ac:dyDescent="0.2"/>
  <cols>
    <col min="1" max="1" width="6.7109375" style="27" bestFit="1" customWidth="1"/>
    <col min="2" max="2" width="36.7109375" style="27" bestFit="1" customWidth="1"/>
    <col min="3" max="3" width="6.140625" style="27" bestFit="1" customWidth="1"/>
    <col min="4" max="4" width="5" style="27" bestFit="1" customWidth="1"/>
    <col min="5" max="5" width="11.7109375" style="27" bestFit="1" customWidth="1"/>
    <col min="6" max="6" width="11" style="27" bestFit="1" customWidth="1"/>
    <col min="7" max="8" width="9.140625" style="27"/>
    <col min="9" max="9" width="10.28515625" style="29" customWidth="1"/>
    <col min="10" max="11" width="9.140625" style="29"/>
    <col min="12" max="14" width="9.140625" style="27"/>
    <col min="15" max="17" width="9.140625" style="29"/>
    <col min="18" max="16384" width="9.140625" style="27"/>
  </cols>
  <sheetData>
    <row r="1" spans="1:17" s="24" customFormat="1" x14ac:dyDescent="0.25">
      <c r="A1" s="23" t="s">
        <v>71</v>
      </c>
      <c r="B1" s="23" t="s">
        <v>1</v>
      </c>
      <c r="C1" s="23" t="s">
        <v>3</v>
      </c>
      <c r="D1" s="23" t="s">
        <v>29</v>
      </c>
      <c r="E1" s="23" t="s">
        <v>23</v>
      </c>
      <c r="F1" s="24" t="s">
        <v>22</v>
      </c>
      <c r="H1" s="23" t="s">
        <v>67</v>
      </c>
      <c r="I1" s="25" t="s">
        <v>68</v>
      </c>
      <c r="J1" s="25" t="s">
        <v>69</v>
      </c>
      <c r="K1" s="25" t="s">
        <v>70</v>
      </c>
      <c r="N1" s="24" t="s">
        <v>84</v>
      </c>
      <c r="O1" s="26" t="s">
        <v>85</v>
      </c>
      <c r="P1" s="26" t="s">
        <v>69</v>
      </c>
      <c r="Q1" s="26" t="s">
        <v>70</v>
      </c>
    </row>
    <row r="2" spans="1:17" x14ac:dyDescent="0.2">
      <c r="A2" s="27">
        <v>1</v>
      </c>
      <c r="B2" s="28" t="s">
        <v>18</v>
      </c>
      <c r="C2" s="28" t="s">
        <v>17</v>
      </c>
      <c r="D2" s="28">
        <v>2019</v>
      </c>
      <c r="E2" s="28" t="s">
        <v>25</v>
      </c>
      <c r="F2" s="27">
        <v>8</v>
      </c>
      <c r="I2" s="29">
        <v>4.333333333333333</v>
      </c>
      <c r="J2" s="29">
        <v>14.17</v>
      </c>
      <c r="K2" s="29">
        <v>0</v>
      </c>
      <c r="N2" s="27">
        <v>8</v>
      </c>
      <c r="O2" s="29">
        <v>10.142857142857142</v>
      </c>
      <c r="P2" s="29">
        <v>21.66952380952381</v>
      </c>
      <c r="Q2" s="29">
        <v>-1.3838095238095249</v>
      </c>
    </row>
    <row r="3" spans="1:17" x14ac:dyDescent="0.2">
      <c r="A3" s="27">
        <v>2</v>
      </c>
      <c r="B3" s="28" t="s">
        <v>16</v>
      </c>
      <c r="C3" s="28" t="s">
        <v>17</v>
      </c>
      <c r="D3" s="28">
        <v>2019</v>
      </c>
      <c r="E3" s="30" t="s">
        <v>24</v>
      </c>
      <c r="F3" s="27">
        <v>7</v>
      </c>
      <c r="H3" s="27">
        <f>ABS(F3-F2)</f>
        <v>1</v>
      </c>
      <c r="I3" s="29">
        <v>4.333333333333333</v>
      </c>
      <c r="J3" s="29">
        <v>14.17</v>
      </c>
      <c r="K3" s="29">
        <v>0</v>
      </c>
      <c r="N3" s="27">
        <v>7</v>
      </c>
      <c r="O3" s="29">
        <v>10.142857142857142</v>
      </c>
      <c r="P3" s="29">
        <v>21.66952380952381</v>
      </c>
      <c r="Q3" s="29">
        <v>-1.3838095238095249</v>
      </c>
    </row>
    <row r="4" spans="1:17" x14ac:dyDescent="0.2">
      <c r="A4" s="27">
        <v>3</v>
      </c>
      <c r="B4" s="28" t="s">
        <v>8</v>
      </c>
      <c r="C4" s="28" t="s">
        <v>9</v>
      </c>
      <c r="D4" s="28">
        <v>2019</v>
      </c>
      <c r="E4" s="28" t="s">
        <v>25</v>
      </c>
      <c r="F4" s="27">
        <v>12</v>
      </c>
      <c r="H4" s="27">
        <f t="shared" ref="H4:H10" si="0">ABS(F4-F3)</f>
        <v>5</v>
      </c>
      <c r="I4" s="29">
        <v>4.333333333333333</v>
      </c>
      <c r="J4" s="29">
        <v>14.17</v>
      </c>
      <c r="K4" s="29">
        <v>0</v>
      </c>
      <c r="N4" s="27">
        <v>12</v>
      </c>
      <c r="O4" s="29">
        <v>10.142857142857142</v>
      </c>
      <c r="P4" s="29">
        <v>21.66952380952381</v>
      </c>
      <c r="Q4" s="29">
        <v>-1.3838095238095249</v>
      </c>
    </row>
    <row r="5" spans="1:17" x14ac:dyDescent="0.2">
      <c r="A5" s="27">
        <v>4</v>
      </c>
      <c r="B5" s="28" t="s">
        <v>7</v>
      </c>
      <c r="C5" s="28" t="s">
        <v>9</v>
      </c>
      <c r="D5" s="28">
        <v>2019</v>
      </c>
      <c r="E5" s="30" t="s">
        <v>24</v>
      </c>
      <c r="F5" s="27">
        <v>15</v>
      </c>
      <c r="H5" s="27">
        <f t="shared" si="0"/>
        <v>3</v>
      </c>
      <c r="I5" s="29">
        <v>4.333333333333333</v>
      </c>
      <c r="J5" s="29">
        <v>14.17</v>
      </c>
      <c r="K5" s="29">
        <v>0</v>
      </c>
      <c r="N5" s="27">
        <v>15</v>
      </c>
      <c r="O5" s="29">
        <v>10.142857142857142</v>
      </c>
      <c r="P5" s="29">
        <v>21.66952380952381</v>
      </c>
      <c r="Q5" s="29">
        <v>-1.3838095238095249</v>
      </c>
    </row>
    <row r="6" spans="1:17" x14ac:dyDescent="0.2">
      <c r="A6" s="27">
        <v>5</v>
      </c>
      <c r="B6" s="28" t="s">
        <v>12</v>
      </c>
      <c r="C6" s="28" t="s">
        <v>11</v>
      </c>
      <c r="D6" s="28">
        <v>2019</v>
      </c>
      <c r="E6" s="28" t="s">
        <v>25</v>
      </c>
      <c r="F6" s="27">
        <v>5</v>
      </c>
      <c r="H6" s="27">
        <f t="shared" si="0"/>
        <v>10</v>
      </c>
      <c r="I6" s="29">
        <v>4.333333333333333</v>
      </c>
      <c r="J6" s="29">
        <v>14.17</v>
      </c>
      <c r="K6" s="29">
        <v>0</v>
      </c>
      <c r="N6" s="27">
        <v>5</v>
      </c>
      <c r="O6" s="29">
        <v>10.142857142857142</v>
      </c>
      <c r="P6" s="29">
        <v>21.66952380952381</v>
      </c>
      <c r="Q6" s="29">
        <v>-1.3838095238095249</v>
      </c>
    </row>
    <row r="7" spans="1:17" x14ac:dyDescent="0.2">
      <c r="A7" s="27">
        <v>6</v>
      </c>
      <c r="B7" s="28" t="s">
        <v>6</v>
      </c>
      <c r="C7" s="28" t="s">
        <v>11</v>
      </c>
      <c r="D7" s="28">
        <v>2019</v>
      </c>
      <c r="E7" s="30" t="s">
        <v>24</v>
      </c>
      <c r="F7" s="27">
        <v>12</v>
      </c>
      <c r="H7" s="27">
        <f t="shared" si="0"/>
        <v>7</v>
      </c>
      <c r="I7" s="29">
        <v>4.333333333333333</v>
      </c>
      <c r="J7" s="29">
        <v>14.17</v>
      </c>
      <c r="K7" s="29">
        <v>0</v>
      </c>
      <c r="N7" s="27">
        <v>12</v>
      </c>
      <c r="O7" s="29">
        <v>10.142857142857142</v>
      </c>
      <c r="P7" s="29">
        <v>21.66952380952381</v>
      </c>
      <c r="Q7" s="29">
        <v>-1.3838095238095249</v>
      </c>
    </row>
    <row r="8" spans="1:17" x14ac:dyDescent="0.2">
      <c r="A8" s="27">
        <v>7</v>
      </c>
      <c r="B8" s="28" t="s">
        <v>5</v>
      </c>
      <c r="C8" s="30" t="s">
        <v>10</v>
      </c>
      <c r="D8" s="28">
        <v>2019</v>
      </c>
      <c r="E8" s="28" t="s">
        <v>25</v>
      </c>
      <c r="F8" s="27">
        <v>12</v>
      </c>
      <c r="H8" s="27">
        <f t="shared" si="0"/>
        <v>0</v>
      </c>
      <c r="I8" s="29">
        <v>4.333333333333333</v>
      </c>
      <c r="J8" s="29">
        <v>14.17</v>
      </c>
      <c r="K8" s="29">
        <v>0</v>
      </c>
      <c r="N8" s="27">
        <v>12</v>
      </c>
      <c r="O8" s="29">
        <v>10.142857142857142</v>
      </c>
      <c r="P8" s="29">
        <v>21.66952380952381</v>
      </c>
      <c r="Q8" s="29">
        <v>-1.3838095238095249</v>
      </c>
    </row>
    <row r="9" spans="1:17" x14ac:dyDescent="0.2">
      <c r="A9" s="27">
        <v>8</v>
      </c>
      <c r="B9" s="31" t="s">
        <v>4</v>
      </c>
      <c r="C9" s="36" t="s">
        <v>10</v>
      </c>
      <c r="D9" s="31">
        <v>2019</v>
      </c>
      <c r="E9" s="36" t="s">
        <v>24</v>
      </c>
      <c r="F9" s="32">
        <v>9</v>
      </c>
      <c r="H9" s="32">
        <f t="shared" si="0"/>
        <v>3</v>
      </c>
      <c r="I9" s="29">
        <v>4.333333333333333</v>
      </c>
      <c r="J9" s="29">
        <v>14.17</v>
      </c>
      <c r="K9" s="29">
        <v>0</v>
      </c>
      <c r="N9" s="32">
        <v>9</v>
      </c>
      <c r="O9" s="29">
        <v>10.142857142857142</v>
      </c>
      <c r="P9" s="29">
        <v>21.66952380952381</v>
      </c>
      <c r="Q9" s="29">
        <v>-1.3838095238095249</v>
      </c>
    </row>
    <row r="10" spans="1:17" x14ac:dyDescent="0.2">
      <c r="A10" s="27">
        <v>9</v>
      </c>
      <c r="B10" s="31" t="s">
        <v>30</v>
      </c>
      <c r="C10" s="31" t="s">
        <v>28</v>
      </c>
      <c r="D10" s="31">
        <v>2019</v>
      </c>
      <c r="E10" s="31" t="s">
        <v>25</v>
      </c>
      <c r="F10" s="32">
        <v>5</v>
      </c>
      <c r="H10" s="32">
        <f t="shared" si="0"/>
        <v>4</v>
      </c>
      <c r="I10" s="29">
        <v>4.333333333333333</v>
      </c>
      <c r="J10" s="29">
        <v>14.17</v>
      </c>
      <c r="K10" s="29">
        <v>0</v>
      </c>
      <c r="N10" s="32">
        <v>5</v>
      </c>
      <c r="O10" s="29">
        <v>10.142857142857142</v>
      </c>
      <c r="P10" s="29">
        <v>21.66952380952381</v>
      </c>
      <c r="Q10" s="29">
        <v>-1.3838095238095249</v>
      </c>
    </row>
    <row r="11" spans="1:17" x14ac:dyDescent="0.2">
      <c r="G11" s="27" t="s">
        <v>68</v>
      </c>
      <c r="H11" s="27">
        <f>AVERAGE(H3:H8)</f>
        <v>4.333333333333333</v>
      </c>
      <c r="M11" s="27" t="s">
        <v>85</v>
      </c>
      <c r="N11" s="27">
        <f>AVERAGE(N2:N8)</f>
        <v>10.142857142857142</v>
      </c>
    </row>
    <row r="13" spans="1:17" x14ac:dyDescent="0.2">
      <c r="H13" s="27" t="s">
        <v>69</v>
      </c>
      <c r="I13" s="29" t="s">
        <v>83</v>
      </c>
      <c r="J13" s="29">
        <f>3.27*H11</f>
        <v>14.17</v>
      </c>
      <c r="N13" s="27" t="s">
        <v>69</v>
      </c>
      <c r="O13" s="29" t="s">
        <v>86</v>
      </c>
      <c r="Q13" s="29">
        <f>N11+(2.66*H11)</f>
        <v>21.66952380952381</v>
      </c>
    </row>
    <row r="14" spans="1:17" x14ac:dyDescent="0.2">
      <c r="H14" s="27" t="s">
        <v>70</v>
      </c>
      <c r="I14" s="29" t="s">
        <v>82</v>
      </c>
      <c r="J14" s="29">
        <f>0*H11</f>
        <v>0</v>
      </c>
      <c r="N14" s="27" t="s">
        <v>70</v>
      </c>
      <c r="O14" s="29" t="s">
        <v>87</v>
      </c>
      <c r="Q14" s="29">
        <f>N11-(2.66*H11)</f>
        <v>-1.3838095238095249</v>
      </c>
    </row>
    <row r="15" spans="1:17" x14ac:dyDescent="0.2">
      <c r="H15" s="27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4920-1C31-4CE0-96D2-2EED043B293C}">
  <dimension ref="A1:BJ43"/>
  <sheetViews>
    <sheetView workbookViewId="0">
      <selection activeCell="BB24" sqref="BB24"/>
    </sheetView>
  </sheetViews>
  <sheetFormatPr defaultRowHeight="15" x14ac:dyDescent="0.25"/>
  <cols>
    <col min="1" max="1" width="7.42578125" customWidth="1"/>
    <col min="9" max="9" width="10.7109375" customWidth="1"/>
    <col min="11" max="11" width="18" customWidth="1"/>
    <col min="16" max="16" width="16.7109375" customWidth="1"/>
    <col min="20" max="20" width="17.28515625" customWidth="1"/>
    <col min="24" max="24" width="13.28515625" customWidth="1"/>
    <col min="25" max="25" width="12.7109375" customWidth="1"/>
    <col min="34" max="34" width="11.7109375" customWidth="1"/>
    <col min="44" max="44" width="13.42578125" customWidth="1"/>
    <col min="54" max="54" width="12.5703125" customWidth="1"/>
  </cols>
  <sheetData>
    <row r="1" spans="1:59" ht="63.75" x14ac:dyDescent="0.25">
      <c r="A1" s="1" t="s">
        <v>71</v>
      </c>
      <c r="B1" s="1" t="s">
        <v>1</v>
      </c>
      <c r="C1" s="1" t="s">
        <v>3</v>
      </c>
      <c r="D1" s="1" t="s">
        <v>29</v>
      </c>
      <c r="E1" s="1" t="s">
        <v>23</v>
      </c>
      <c r="F1" s="1" t="s">
        <v>2</v>
      </c>
      <c r="G1" s="1" t="s">
        <v>14</v>
      </c>
      <c r="H1" s="1" t="s">
        <v>19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  <c r="P1" s="1" t="s">
        <v>129</v>
      </c>
      <c r="Q1" s="1" t="s">
        <v>26</v>
      </c>
      <c r="R1" s="1" t="s">
        <v>27</v>
      </c>
      <c r="S1" s="1" t="s">
        <v>15</v>
      </c>
      <c r="T1" s="1" t="s">
        <v>130</v>
      </c>
      <c r="U1" s="1" t="s">
        <v>131</v>
      </c>
      <c r="V1" s="1" t="s">
        <v>22</v>
      </c>
      <c r="X1" t="s">
        <v>44</v>
      </c>
      <c r="AH1" t="s">
        <v>44</v>
      </c>
      <c r="AR1" t="s">
        <v>44</v>
      </c>
    </row>
    <row r="2" spans="1:59" ht="15.75" thickBot="1" x14ac:dyDescent="0.3">
      <c r="A2" s="5">
        <v>1</v>
      </c>
      <c r="B2" s="2" t="s">
        <v>18</v>
      </c>
      <c r="C2" s="2" t="s">
        <v>17</v>
      </c>
      <c r="D2" s="2">
        <v>2019</v>
      </c>
      <c r="E2" s="2" t="s">
        <v>25</v>
      </c>
      <c r="F2" s="2">
        <v>5856</v>
      </c>
      <c r="G2" s="4">
        <v>43756</v>
      </c>
      <c r="H2" s="4" t="s">
        <v>21</v>
      </c>
      <c r="I2" s="5">
        <v>8</v>
      </c>
      <c r="J2" s="5">
        <v>8</v>
      </c>
      <c r="K2" s="5">
        <v>16</v>
      </c>
      <c r="L2" s="5">
        <v>8</v>
      </c>
      <c r="M2" s="5">
        <v>16</v>
      </c>
      <c r="N2" s="5">
        <v>8</v>
      </c>
      <c r="O2" s="5">
        <v>4</v>
      </c>
      <c r="P2" s="5">
        <v>4</v>
      </c>
      <c r="Q2" s="5">
        <v>6</v>
      </c>
      <c r="R2" s="5">
        <v>2</v>
      </c>
      <c r="S2" s="6">
        <v>43769</v>
      </c>
      <c r="T2" s="5">
        <f t="shared" ref="T2:T10" si="0">SUM(J2:M2)</f>
        <v>48</v>
      </c>
      <c r="U2" s="5">
        <f t="shared" ref="U2:U10" si="1">SUM(I2:P2)</f>
        <v>72</v>
      </c>
      <c r="V2" s="5">
        <f t="shared" ref="V2:V10" si="2">Q2+R2</f>
        <v>8</v>
      </c>
      <c r="X2" t="s">
        <v>13</v>
      </c>
      <c r="AH2" t="s">
        <v>90</v>
      </c>
      <c r="AR2" t="s">
        <v>91</v>
      </c>
      <c r="BB2" t="s">
        <v>44</v>
      </c>
    </row>
    <row r="3" spans="1:59" ht="15.75" thickBot="1" x14ac:dyDescent="0.3">
      <c r="A3" s="5">
        <v>2</v>
      </c>
      <c r="B3" s="2" t="s">
        <v>16</v>
      </c>
      <c r="C3" s="2" t="s">
        <v>17</v>
      </c>
      <c r="D3" s="2">
        <v>2019</v>
      </c>
      <c r="E3" s="3" t="s">
        <v>24</v>
      </c>
      <c r="F3" s="2">
        <v>3822</v>
      </c>
      <c r="G3" s="4">
        <v>43767</v>
      </c>
      <c r="H3" s="4" t="s">
        <v>21</v>
      </c>
      <c r="I3" s="5">
        <v>16</v>
      </c>
      <c r="J3" s="5">
        <v>16</v>
      </c>
      <c r="K3" s="5">
        <v>4</v>
      </c>
      <c r="L3" s="5">
        <v>4</v>
      </c>
      <c r="M3" s="5">
        <v>4</v>
      </c>
      <c r="N3" s="5">
        <v>4</v>
      </c>
      <c r="O3" s="5">
        <v>4</v>
      </c>
      <c r="P3" s="5">
        <v>4</v>
      </c>
      <c r="Q3" s="5">
        <v>3</v>
      </c>
      <c r="R3" s="5">
        <v>4</v>
      </c>
      <c r="S3" s="6">
        <v>43777</v>
      </c>
      <c r="T3" s="5">
        <f t="shared" si="0"/>
        <v>28</v>
      </c>
      <c r="U3" s="5">
        <f t="shared" si="1"/>
        <v>56</v>
      </c>
      <c r="V3" s="5">
        <f t="shared" si="2"/>
        <v>7</v>
      </c>
      <c r="X3" s="10" t="s">
        <v>45</v>
      </c>
      <c r="Y3" s="10"/>
      <c r="AH3" s="10" t="s">
        <v>45</v>
      </c>
      <c r="AI3" s="10"/>
      <c r="AR3" s="10" t="s">
        <v>45</v>
      </c>
      <c r="AS3" s="10"/>
      <c r="BB3" t="s">
        <v>135</v>
      </c>
    </row>
    <row r="4" spans="1:59" x14ac:dyDescent="0.25">
      <c r="A4" s="5">
        <v>3</v>
      </c>
      <c r="B4" s="2" t="s">
        <v>8</v>
      </c>
      <c r="C4" s="2" t="s">
        <v>9</v>
      </c>
      <c r="D4" s="2">
        <v>2019</v>
      </c>
      <c r="E4" s="2" t="s">
        <v>25</v>
      </c>
      <c r="F4" s="2">
        <v>5804</v>
      </c>
      <c r="G4" s="4">
        <v>43798</v>
      </c>
      <c r="H4" s="4" t="s">
        <v>21</v>
      </c>
      <c r="I4" s="5">
        <v>4</v>
      </c>
      <c r="J4" s="5">
        <v>20</v>
      </c>
      <c r="K4" s="5">
        <v>16</v>
      </c>
      <c r="L4" s="5">
        <v>8</v>
      </c>
      <c r="M4" s="5">
        <v>16</v>
      </c>
      <c r="N4" s="5">
        <v>8</v>
      </c>
      <c r="O4" s="5">
        <v>12</v>
      </c>
      <c r="P4" s="5">
        <v>4</v>
      </c>
      <c r="Q4" s="5">
        <v>4</v>
      </c>
      <c r="R4" s="5">
        <v>8</v>
      </c>
      <c r="S4" s="6">
        <v>43813</v>
      </c>
      <c r="T4" s="5">
        <f t="shared" si="0"/>
        <v>60</v>
      </c>
      <c r="U4" s="5">
        <f t="shared" si="1"/>
        <v>88</v>
      </c>
      <c r="V4" s="5">
        <f t="shared" si="2"/>
        <v>12</v>
      </c>
      <c r="X4" s="19" t="s">
        <v>46</v>
      </c>
      <c r="Y4" s="19">
        <v>0.45587764529631825</v>
      </c>
      <c r="AH4" s="19" t="s">
        <v>46</v>
      </c>
      <c r="AI4" s="19">
        <v>0.37559187351247586</v>
      </c>
      <c r="AR4" s="19" t="s">
        <v>46</v>
      </c>
      <c r="AS4" s="19">
        <v>8.476573286115037E-2</v>
      </c>
      <c r="BB4" s="10" t="s">
        <v>45</v>
      </c>
      <c r="BC4" s="10"/>
    </row>
    <row r="5" spans="1:59" x14ac:dyDescent="0.25">
      <c r="A5" s="5">
        <v>4</v>
      </c>
      <c r="B5" s="2" t="s">
        <v>7</v>
      </c>
      <c r="C5" s="2" t="s">
        <v>9</v>
      </c>
      <c r="D5" s="2">
        <v>2019</v>
      </c>
      <c r="E5" s="3" t="s">
        <v>24</v>
      </c>
      <c r="F5" s="2">
        <v>3742</v>
      </c>
      <c r="G5" s="4">
        <v>43826</v>
      </c>
      <c r="H5" s="4" t="s">
        <v>21</v>
      </c>
      <c r="I5" s="5">
        <v>8</v>
      </c>
      <c r="J5" s="5">
        <v>16</v>
      </c>
      <c r="K5" s="5">
        <v>8</v>
      </c>
      <c r="L5" s="5">
        <v>8</v>
      </c>
      <c r="M5" s="5">
        <v>16</v>
      </c>
      <c r="N5" s="5">
        <v>8</v>
      </c>
      <c r="O5" s="5">
        <v>4</v>
      </c>
      <c r="P5" s="5">
        <v>4</v>
      </c>
      <c r="Q5" s="5">
        <v>3</v>
      </c>
      <c r="R5" s="5">
        <v>12</v>
      </c>
      <c r="S5" s="6">
        <v>43476</v>
      </c>
      <c r="T5" s="5">
        <f t="shared" si="0"/>
        <v>48</v>
      </c>
      <c r="U5" s="5">
        <f t="shared" si="1"/>
        <v>72</v>
      </c>
      <c r="V5" s="5">
        <f t="shared" si="2"/>
        <v>15</v>
      </c>
      <c r="X5" t="s">
        <v>47</v>
      </c>
      <c r="Y5">
        <v>0.20782442748091576</v>
      </c>
      <c r="AH5" t="s">
        <v>47</v>
      </c>
      <c r="AI5">
        <v>0.14106925544861168</v>
      </c>
      <c r="AR5" t="s">
        <v>47</v>
      </c>
      <c r="AS5">
        <v>7.1852294674879082E-3</v>
      </c>
      <c r="BB5" s="19" t="s">
        <v>46</v>
      </c>
      <c r="BC5" s="19">
        <v>0.45587764529631825</v>
      </c>
    </row>
    <row r="6" spans="1:59" x14ac:dyDescent="0.25">
      <c r="A6" s="5">
        <v>5</v>
      </c>
      <c r="B6" s="2" t="s">
        <v>12</v>
      </c>
      <c r="C6" s="2" t="s">
        <v>11</v>
      </c>
      <c r="D6" s="2">
        <v>2019</v>
      </c>
      <c r="E6" s="2" t="s">
        <v>25</v>
      </c>
      <c r="F6" s="2">
        <v>5975</v>
      </c>
      <c r="G6" s="4">
        <v>43472</v>
      </c>
      <c r="H6" s="4" t="s">
        <v>21</v>
      </c>
      <c r="I6" s="5">
        <v>16</v>
      </c>
      <c r="J6" s="5">
        <v>32</v>
      </c>
      <c r="K6" s="5">
        <v>4</v>
      </c>
      <c r="L6" s="5">
        <v>8</v>
      </c>
      <c r="M6" s="5">
        <v>8</v>
      </c>
      <c r="N6" s="5">
        <v>4</v>
      </c>
      <c r="O6" s="5">
        <v>4</v>
      </c>
      <c r="P6" s="5">
        <v>4</v>
      </c>
      <c r="Q6" s="5">
        <v>5</v>
      </c>
      <c r="R6" s="5">
        <v>0</v>
      </c>
      <c r="S6" s="6">
        <v>43486</v>
      </c>
      <c r="T6" s="5">
        <f t="shared" si="0"/>
        <v>52</v>
      </c>
      <c r="U6" s="5">
        <f t="shared" si="1"/>
        <v>80</v>
      </c>
      <c r="V6" s="5">
        <f t="shared" si="2"/>
        <v>5</v>
      </c>
      <c r="X6" t="s">
        <v>48</v>
      </c>
      <c r="Y6">
        <v>4.93893129770989E-2</v>
      </c>
      <c r="AH6" t="s">
        <v>48</v>
      </c>
      <c r="AI6">
        <v>-3.0716893461665996E-2</v>
      </c>
      <c r="AR6" t="s">
        <v>48</v>
      </c>
      <c r="AS6">
        <v>-0.19137772463901451</v>
      </c>
      <c r="BB6" t="s">
        <v>47</v>
      </c>
      <c r="BC6">
        <v>0.20782442748091576</v>
      </c>
    </row>
    <row r="7" spans="1:59" x14ac:dyDescent="0.25">
      <c r="A7" s="5">
        <v>6</v>
      </c>
      <c r="B7" s="2" t="s">
        <v>6</v>
      </c>
      <c r="C7" s="2" t="s">
        <v>11</v>
      </c>
      <c r="D7" s="2">
        <v>2019</v>
      </c>
      <c r="E7" s="3" t="s">
        <v>24</v>
      </c>
      <c r="F7" s="2">
        <v>3736</v>
      </c>
      <c r="G7" s="4">
        <v>43483</v>
      </c>
      <c r="H7" s="4" t="s">
        <v>21</v>
      </c>
      <c r="I7" s="5">
        <v>24</v>
      </c>
      <c r="J7" s="5">
        <v>16</v>
      </c>
      <c r="K7" s="5">
        <v>8</v>
      </c>
      <c r="L7" s="5">
        <v>4</v>
      </c>
      <c r="M7" s="5">
        <v>4</v>
      </c>
      <c r="N7" s="5">
        <v>8</v>
      </c>
      <c r="O7" s="5">
        <v>4</v>
      </c>
      <c r="P7" s="5">
        <v>4</v>
      </c>
      <c r="Q7" s="5">
        <v>8</v>
      </c>
      <c r="R7" s="5">
        <v>4</v>
      </c>
      <c r="S7" s="6">
        <v>43496</v>
      </c>
      <c r="T7" s="5">
        <f t="shared" si="0"/>
        <v>32</v>
      </c>
      <c r="U7" s="5">
        <f t="shared" si="1"/>
        <v>72</v>
      </c>
      <c r="V7" s="5">
        <f t="shared" si="2"/>
        <v>12</v>
      </c>
      <c r="X7" t="s">
        <v>32</v>
      </c>
      <c r="Y7">
        <v>3.4438350715445134</v>
      </c>
      <c r="AH7" t="s">
        <v>32</v>
      </c>
      <c r="AI7">
        <v>3.5860033867601229</v>
      </c>
      <c r="AR7" t="s">
        <v>32</v>
      </c>
      <c r="AS7">
        <v>3.8553670929869637</v>
      </c>
      <c r="BB7" t="s">
        <v>48</v>
      </c>
      <c r="BC7">
        <v>4.93893129770989E-2</v>
      </c>
    </row>
    <row r="8" spans="1:59" ht="15.75" thickBot="1" x14ac:dyDescent="0.3">
      <c r="A8" s="5">
        <v>7</v>
      </c>
      <c r="B8" s="2" t="s">
        <v>5</v>
      </c>
      <c r="C8" s="3" t="s">
        <v>10</v>
      </c>
      <c r="D8" s="2">
        <v>2019</v>
      </c>
      <c r="E8" s="2" t="s">
        <v>25</v>
      </c>
      <c r="F8" s="2">
        <v>5906</v>
      </c>
      <c r="G8" s="4">
        <v>43481</v>
      </c>
      <c r="H8" s="4" t="s">
        <v>20</v>
      </c>
      <c r="I8" s="5">
        <v>24</v>
      </c>
      <c r="J8" s="5">
        <v>16</v>
      </c>
      <c r="K8" s="5">
        <v>8</v>
      </c>
      <c r="L8" s="5">
        <v>8</v>
      </c>
      <c r="M8" s="5">
        <v>16</v>
      </c>
      <c r="N8" s="5">
        <v>8</v>
      </c>
      <c r="O8" s="5">
        <v>20</v>
      </c>
      <c r="P8" s="5">
        <v>4</v>
      </c>
      <c r="Q8" s="5">
        <v>7</v>
      </c>
      <c r="R8" s="5">
        <v>5</v>
      </c>
      <c r="S8" s="6">
        <v>43500</v>
      </c>
      <c r="T8" s="5">
        <f t="shared" si="0"/>
        <v>48</v>
      </c>
      <c r="U8" s="5">
        <f t="shared" si="1"/>
        <v>104</v>
      </c>
      <c r="V8" s="5">
        <f t="shared" si="2"/>
        <v>12</v>
      </c>
      <c r="X8" s="8" t="s">
        <v>2</v>
      </c>
      <c r="Y8" s="8">
        <v>7</v>
      </c>
      <c r="AH8" s="8" t="s">
        <v>2</v>
      </c>
      <c r="AI8" s="8">
        <v>7</v>
      </c>
      <c r="AR8" s="8" t="s">
        <v>2</v>
      </c>
      <c r="AS8" s="8">
        <v>7</v>
      </c>
      <c r="BB8" t="s">
        <v>32</v>
      </c>
      <c r="BC8">
        <v>3.4438350715445134</v>
      </c>
    </row>
    <row r="9" spans="1:59" ht="15.75" thickBot="1" x14ac:dyDescent="0.3">
      <c r="A9" s="5">
        <v>8</v>
      </c>
      <c r="B9" s="11" t="s">
        <v>4</v>
      </c>
      <c r="C9" s="33" t="s">
        <v>10</v>
      </c>
      <c r="D9" s="11">
        <v>2019</v>
      </c>
      <c r="E9" s="33" t="s">
        <v>24</v>
      </c>
      <c r="F9" s="11">
        <v>3736</v>
      </c>
      <c r="G9" s="12">
        <v>43489</v>
      </c>
      <c r="H9" s="12" t="s">
        <v>21</v>
      </c>
      <c r="I9" s="13">
        <v>8</v>
      </c>
      <c r="J9" s="13">
        <v>32</v>
      </c>
      <c r="K9" s="13">
        <v>8</v>
      </c>
      <c r="L9" s="13">
        <v>8</v>
      </c>
      <c r="M9" s="13">
        <v>8</v>
      </c>
      <c r="N9" s="13">
        <v>8</v>
      </c>
      <c r="O9" s="13">
        <v>12</v>
      </c>
      <c r="P9" s="13">
        <v>4</v>
      </c>
      <c r="Q9" s="13">
        <v>2</v>
      </c>
      <c r="R9" s="13">
        <v>7</v>
      </c>
      <c r="S9" s="14">
        <v>43504</v>
      </c>
      <c r="T9" s="13">
        <f t="shared" si="0"/>
        <v>56</v>
      </c>
      <c r="U9" s="13">
        <f t="shared" si="1"/>
        <v>88</v>
      </c>
      <c r="V9" s="13">
        <f t="shared" si="2"/>
        <v>9</v>
      </c>
      <c r="BB9" s="8" t="s">
        <v>2</v>
      </c>
      <c r="BC9" s="8">
        <v>7</v>
      </c>
    </row>
    <row r="10" spans="1:59" ht="15.75" thickBot="1" x14ac:dyDescent="0.3">
      <c r="A10" s="5">
        <v>9</v>
      </c>
      <c r="B10" s="11" t="s">
        <v>30</v>
      </c>
      <c r="C10" s="11" t="s">
        <v>28</v>
      </c>
      <c r="D10" s="11">
        <v>2019</v>
      </c>
      <c r="E10" s="11" t="s">
        <v>25</v>
      </c>
      <c r="F10" s="11">
        <v>5851</v>
      </c>
      <c r="G10" s="12">
        <v>43517</v>
      </c>
      <c r="H10" s="12" t="s">
        <v>21</v>
      </c>
      <c r="I10" s="13">
        <v>24</v>
      </c>
      <c r="J10" s="13">
        <v>16</v>
      </c>
      <c r="K10" s="13">
        <v>8</v>
      </c>
      <c r="L10" s="13">
        <v>16</v>
      </c>
      <c r="M10" s="13">
        <v>16</v>
      </c>
      <c r="N10" s="13">
        <v>8</v>
      </c>
      <c r="O10" s="13">
        <v>12</v>
      </c>
      <c r="P10" s="13">
        <v>4</v>
      </c>
      <c r="Q10" s="13">
        <v>2</v>
      </c>
      <c r="R10" s="13">
        <v>3</v>
      </c>
      <c r="S10" s="14">
        <v>43532</v>
      </c>
      <c r="T10" s="13">
        <f t="shared" si="0"/>
        <v>56</v>
      </c>
      <c r="U10" s="13">
        <f t="shared" si="1"/>
        <v>104</v>
      </c>
      <c r="V10" s="13">
        <f t="shared" si="2"/>
        <v>5</v>
      </c>
      <c r="X10" t="s">
        <v>49</v>
      </c>
      <c r="AH10" t="s">
        <v>49</v>
      </c>
      <c r="AR10" t="s">
        <v>49</v>
      </c>
    </row>
    <row r="11" spans="1:59" ht="15.75" thickBot="1" x14ac:dyDescent="0.3">
      <c r="X11" s="9"/>
      <c r="Y11" s="9" t="s">
        <v>54</v>
      </c>
      <c r="Z11" s="9" t="s">
        <v>55</v>
      </c>
      <c r="AA11" s="9" t="s">
        <v>56</v>
      </c>
      <c r="AB11" s="9" t="s">
        <v>57</v>
      </c>
      <c r="AC11" s="9" t="s">
        <v>58</v>
      </c>
      <c r="AH11" s="9"/>
      <c r="AI11" s="9" t="s">
        <v>54</v>
      </c>
      <c r="AJ11" s="9" t="s">
        <v>55</v>
      </c>
      <c r="AK11" s="9" t="s">
        <v>56</v>
      </c>
      <c r="AL11" s="9" t="s">
        <v>57</v>
      </c>
      <c r="AM11" s="9" t="s">
        <v>58</v>
      </c>
      <c r="AR11" s="9"/>
      <c r="AS11" s="9" t="s">
        <v>54</v>
      </c>
      <c r="AT11" s="9" t="s">
        <v>55</v>
      </c>
      <c r="AU11" s="9" t="s">
        <v>56</v>
      </c>
      <c r="AV11" s="9" t="s">
        <v>57</v>
      </c>
      <c r="AW11" s="9" t="s">
        <v>58</v>
      </c>
      <c r="BB11" t="s">
        <v>49</v>
      </c>
    </row>
    <row r="12" spans="1:59" x14ac:dyDescent="0.25">
      <c r="X12" t="s">
        <v>50</v>
      </c>
      <c r="Y12">
        <v>1</v>
      </c>
      <c r="Z12">
        <v>15.557142857142836</v>
      </c>
      <c r="AA12">
        <v>15.557142857142836</v>
      </c>
      <c r="AB12">
        <v>1.311732112743915</v>
      </c>
      <c r="AC12">
        <v>0.30392488733262313</v>
      </c>
      <c r="AH12" t="s">
        <v>50</v>
      </c>
      <c r="AI12">
        <v>1</v>
      </c>
      <c r="AJ12">
        <v>10.560041407867502</v>
      </c>
      <c r="AK12">
        <v>10.560041407867502</v>
      </c>
      <c r="AL12">
        <v>0.8211910933651051</v>
      </c>
      <c r="AM12">
        <v>0.40638168233972871</v>
      </c>
      <c r="AR12" t="s">
        <v>50</v>
      </c>
      <c r="AS12">
        <v>1</v>
      </c>
      <c r="AT12">
        <v>0.53786574870909476</v>
      </c>
      <c r="AU12">
        <v>0.53786574870909476</v>
      </c>
      <c r="AV12">
        <v>3.6186153151377853E-2</v>
      </c>
      <c r="AW12">
        <v>0.8566136520705242</v>
      </c>
      <c r="BB12" s="9"/>
      <c r="BC12" s="9" t="s">
        <v>54</v>
      </c>
      <c r="BD12" s="9" t="s">
        <v>55</v>
      </c>
      <c r="BE12" s="9" t="s">
        <v>56</v>
      </c>
      <c r="BF12" s="9" t="s">
        <v>57</v>
      </c>
      <c r="BG12" s="9" t="s">
        <v>58</v>
      </c>
    </row>
    <row r="13" spans="1:59" ht="63.75" x14ac:dyDescent="0.25">
      <c r="F13" s="1" t="s">
        <v>125</v>
      </c>
      <c r="G13" s="1" t="s">
        <v>122</v>
      </c>
      <c r="H13" s="1" t="s">
        <v>123</v>
      </c>
      <c r="I13" s="7" t="s">
        <v>22</v>
      </c>
      <c r="K13" t="s">
        <v>72</v>
      </c>
      <c r="X13" t="s">
        <v>51</v>
      </c>
      <c r="Y13">
        <v>5</v>
      </c>
      <c r="Z13">
        <v>59.300000000000011</v>
      </c>
      <c r="AA13">
        <v>11.860000000000003</v>
      </c>
      <c r="AH13" t="s">
        <v>51</v>
      </c>
      <c r="AI13">
        <v>5</v>
      </c>
      <c r="AJ13">
        <v>64.297101449275345</v>
      </c>
      <c r="AK13">
        <v>12.85942028985507</v>
      </c>
      <c r="AR13" t="s">
        <v>51</v>
      </c>
      <c r="AS13">
        <v>5</v>
      </c>
      <c r="AT13">
        <v>74.319277108433752</v>
      </c>
      <c r="AU13">
        <v>14.86385542168675</v>
      </c>
      <c r="BB13" t="s">
        <v>50</v>
      </c>
      <c r="BC13">
        <v>1</v>
      </c>
      <c r="BD13">
        <v>15.557142857142836</v>
      </c>
      <c r="BE13">
        <v>15.557142857142836</v>
      </c>
      <c r="BF13">
        <v>1.311732112743915</v>
      </c>
      <c r="BG13">
        <v>0.30392488733262313</v>
      </c>
    </row>
    <row r="14" spans="1:59" ht="15.75" thickBot="1" x14ac:dyDescent="0.3">
      <c r="F14" s="5">
        <v>8</v>
      </c>
      <c r="G14" s="5">
        <v>8</v>
      </c>
      <c r="H14" s="5">
        <v>8</v>
      </c>
      <c r="I14" s="7">
        <v>8</v>
      </c>
      <c r="X14" s="8" t="s">
        <v>52</v>
      </c>
      <c r="Y14" s="8">
        <v>6</v>
      </c>
      <c r="Z14" s="8">
        <v>74.857142857142847</v>
      </c>
      <c r="AA14" s="8"/>
      <c r="AB14" s="8"/>
      <c r="AC14" s="8"/>
      <c r="AH14" s="8" t="s">
        <v>52</v>
      </c>
      <c r="AI14" s="8">
        <v>6</v>
      </c>
      <c r="AJ14" s="8">
        <v>74.857142857142847</v>
      </c>
      <c r="AK14" s="8"/>
      <c r="AL14" s="8"/>
      <c r="AM14" s="8"/>
      <c r="AR14" s="8" t="s">
        <v>52</v>
      </c>
      <c r="AS14" s="8">
        <v>6</v>
      </c>
      <c r="AT14" s="8">
        <v>74.857142857142847</v>
      </c>
      <c r="AU14" s="8"/>
      <c r="AV14" s="8"/>
      <c r="AW14" s="8"/>
      <c r="BB14" t="s">
        <v>51</v>
      </c>
      <c r="BC14">
        <v>5</v>
      </c>
      <c r="BD14">
        <v>59.300000000000011</v>
      </c>
      <c r="BE14">
        <v>11.860000000000003</v>
      </c>
    </row>
    <row r="15" spans="1:59" ht="15.75" thickBot="1" x14ac:dyDescent="0.3">
      <c r="F15" s="5">
        <v>4</v>
      </c>
      <c r="G15" s="5">
        <v>16</v>
      </c>
      <c r="H15" s="5">
        <v>16</v>
      </c>
      <c r="I15" s="7">
        <v>7</v>
      </c>
      <c r="K15" t="s">
        <v>73</v>
      </c>
      <c r="T15" t="s">
        <v>44</v>
      </c>
      <c r="BB15" s="8" t="s">
        <v>52</v>
      </c>
      <c r="BC15" s="8">
        <v>6</v>
      </c>
      <c r="BD15" s="8">
        <v>74.857142857142847</v>
      </c>
      <c r="BE15" s="8"/>
      <c r="BF15" s="8"/>
      <c r="BG15" s="8"/>
    </row>
    <row r="16" spans="1:59" ht="15.75" thickBot="1" x14ac:dyDescent="0.3">
      <c r="F16" s="5">
        <v>8</v>
      </c>
      <c r="G16" s="5">
        <v>4</v>
      </c>
      <c r="H16" s="5">
        <v>20</v>
      </c>
      <c r="I16" s="7">
        <v>12</v>
      </c>
      <c r="K16" s="9" t="s">
        <v>74</v>
      </c>
      <c r="L16" s="9" t="s">
        <v>43</v>
      </c>
      <c r="M16" s="9" t="s">
        <v>42</v>
      </c>
      <c r="N16" s="9" t="s">
        <v>75</v>
      </c>
      <c r="O16" s="9" t="s">
        <v>76</v>
      </c>
      <c r="AC16" s="9" t="s">
        <v>62</v>
      </c>
      <c r="AD16" s="9" t="s">
        <v>63</v>
      </c>
      <c r="AE16" s="9" t="s">
        <v>64</v>
      </c>
      <c r="AF16" s="9" t="s">
        <v>65</v>
      </c>
      <c r="AH16" s="9"/>
      <c r="AI16" s="9" t="s">
        <v>59</v>
      </c>
      <c r="AJ16" s="9" t="s">
        <v>32</v>
      </c>
      <c r="AK16" s="9" t="s">
        <v>60</v>
      </c>
      <c r="AL16" s="9" t="s">
        <v>61</v>
      </c>
      <c r="AM16" s="9" t="s">
        <v>62</v>
      </c>
      <c r="AN16" s="9" t="s">
        <v>63</v>
      </c>
      <c r="AO16" s="9" t="s">
        <v>64</v>
      </c>
      <c r="AP16" s="9" t="s">
        <v>65</v>
      </c>
      <c r="AR16" s="9"/>
      <c r="AS16" s="9" t="s">
        <v>59</v>
      </c>
      <c r="AT16" s="9" t="s">
        <v>32</v>
      </c>
      <c r="AU16" s="9" t="s">
        <v>60</v>
      </c>
      <c r="AV16" s="9" t="s">
        <v>61</v>
      </c>
      <c r="AW16" s="9" t="s">
        <v>62</v>
      </c>
      <c r="AX16" s="9" t="s">
        <v>63</v>
      </c>
      <c r="AY16" s="9" t="s">
        <v>64</v>
      </c>
      <c r="AZ16" s="9" t="s">
        <v>65</v>
      </c>
    </row>
    <row r="17" spans="6:62" x14ac:dyDescent="0.25">
      <c r="F17" s="5">
        <v>8</v>
      </c>
      <c r="G17" s="5">
        <v>8</v>
      </c>
      <c r="H17" s="5">
        <v>16</v>
      </c>
      <c r="I17" s="7">
        <v>15</v>
      </c>
      <c r="K17" t="s">
        <v>122</v>
      </c>
      <c r="L17">
        <v>7</v>
      </c>
      <c r="M17">
        <v>100</v>
      </c>
      <c r="N17">
        <v>14.285714285714286</v>
      </c>
      <c r="O17">
        <v>63.238095238095219</v>
      </c>
      <c r="T17" s="10" t="s">
        <v>45</v>
      </c>
      <c r="U17" s="10"/>
      <c r="AC17">
        <v>-0.80731216116485438</v>
      </c>
      <c r="AD17">
        <v>14.807312161164855</v>
      </c>
      <c r="AE17">
        <v>-0.80731216116485438</v>
      </c>
      <c r="AF17">
        <v>14.807312161164855</v>
      </c>
      <c r="AH17" t="s">
        <v>53</v>
      </c>
      <c r="AI17">
        <v>13.38405797101449</v>
      </c>
      <c r="AJ17">
        <v>3.824907866189081</v>
      </c>
      <c r="AK17">
        <v>3.4991844089435804</v>
      </c>
      <c r="AL17">
        <v>1.7299518499088593E-2</v>
      </c>
      <c r="AM17">
        <v>3.5518192872063814</v>
      </c>
      <c r="AN17">
        <v>23.2162966548226</v>
      </c>
      <c r="AO17">
        <v>3.5518192872063814</v>
      </c>
      <c r="AP17">
        <v>23.2162966548226</v>
      </c>
      <c r="AR17" t="s">
        <v>53</v>
      </c>
      <c r="AS17">
        <v>10.680722891566266</v>
      </c>
      <c r="AT17">
        <v>3.1809065755651345</v>
      </c>
      <c r="AU17">
        <v>3.3577606376787972</v>
      </c>
      <c r="AV17">
        <v>2.0157145372168131E-2</v>
      </c>
      <c r="AW17">
        <v>2.5039422275624172</v>
      </c>
      <c r="AX17">
        <v>18.857503555570112</v>
      </c>
      <c r="AY17">
        <v>2.5039422275624172</v>
      </c>
      <c r="AZ17">
        <v>18.857503555570112</v>
      </c>
      <c r="BB17" s="9"/>
      <c r="BC17" s="9" t="s">
        <v>59</v>
      </c>
      <c r="BD17" s="9" t="s">
        <v>32</v>
      </c>
      <c r="BE17" s="9" t="s">
        <v>60</v>
      </c>
      <c r="BF17" s="9" t="s">
        <v>61</v>
      </c>
      <c r="BG17" s="9" t="s">
        <v>62</v>
      </c>
      <c r="BH17" s="9" t="s">
        <v>63</v>
      </c>
      <c r="BI17" s="9" t="s">
        <v>64</v>
      </c>
      <c r="BJ17" s="9" t="s">
        <v>65</v>
      </c>
    </row>
    <row r="18" spans="6:62" ht="15.75" thickBot="1" x14ac:dyDescent="0.3">
      <c r="F18" s="5">
        <v>8</v>
      </c>
      <c r="G18" s="5">
        <v>16</v>
      </c>
      <c r="H18" s="5">
        <v>32</v>
      </c>
      <c r="I18" s="7">
        <v>5</v>
      </c>
      <c r="K18" t="s">
        <v>123</v>
      </c>
      <c r="L18">
        <v>7</v>
      </c>
      <c r="M18">
        <v>124</v>
      </c>
      <c r="N18">
        <v>17.714285714285715</v>
      </c>
      <c r="O18">
        <v>52.571428571428591</v>
      </c>
      <c r="T18" t="s">
        <v>46</v>
      </c>
      <c r="U18">
        <v>0.42410114381161085</v>
      </c>
      <c r="AC18" s="8">
        <v>-2.7377777666425063</v>
      </c>
      <c r="AD18" s="8">
        <v>7.1377777666425049</v>
      </c>
      <c r="AE18" s="8">
        <v>-2.7377777666425063</v>
      </c>
      <c r="AF18" s="8">
        <v>7.1377777666425049</v>
      </c>
      <c r="AH18" s="8" t="s">
        <v>123</v>
      </c>
      <c r="AI18" s="8">
        <v>-1.4637681159420279</v>
      </c>
      <c r="AJ18" s="8">
        <v>1.6152887481718534</v>
      </c>
      <c r="AK18" s="8">
        <v>-0.90619594645148549</v>
      </c>
      <c r="AL18" s="22">
        <v>0.4063816823397291</v>
      </c>
      <c r="AM18" s="8">
        <v>-5.6160000313003167</v>
      </c>
      <c r="AN18" s="8">
        <v>2.6884637994162603</v>
      </c>
      <c r="AO18" s="8">
        <v>-5.6160000313003167</v>
      </c>
      <c r="AP18" s="8">
        <v>2.6884637994162603</v>
      </c>
      <c r="AR18" s="8" t="s">
        <v>122</v>
      </c>
      <c r="AS18" s="8">
        <v>-0.30120481927710863</v>
      </c>
      <c r="AT18" s="8">
        <v>1.5834002451017009</v>
      </c>
      <c r="AU18" s="8">
        <v>-0.19022658371368537</v>
      </c>
      <c r="AV18" s="22">
        <v>0.85661365207052054</v>
      </c>
      <c r="AW18" s="8">
        <v>-4.3714647278776297</v>
      </c>
      <c r="AX18" s="8">
        <v>3.7690550893234125</v>
      </c>
      <c r="AY18" s="8">
        <v>-4.3714647278776297</v>
      </c>
      <c r="AZ18" s="8">
        <v>3.7690550893234125</v>
      </c>
      <c r="BB18" t="s">
        <v>53</v>
      </c>
      <c r="BC18">
        <v>7</v>
      </c>
      <c r="BD18">
        <v>3.0371770518763714</v>
      </c>
      <c r="BE18">
        <v>2.3047717931608207</v>
      </c>
      <c r="BF18">
        <v>6.9358164031776776E-2</v>
      </c>
      <c r="BG18">
        <v>-0.80731216116485438</v>
      </c>
      <c r="BH18">
        <v>14.807312161164855</v>
      </c>
      <c r="BI18">
        <v>-0.80731216116485438</v>
      </c>
      <c r="BJ18">
        <v>14.807312161164855</v>
      </c>
    </row>
    <row r="19" spans="6:62" ht="15.75" thickBot="1" x14ac:dyDescent="0.3">
      <c r="F19" s="5">
        <v>4</v>
      </c>
      <c r="G19" s="5">
        <v>24</v>
      </c>
      <c r="H19" s="5">
        <v>16</v>
      </c>
      <c r="I19" s="7">
        <v>12</v>
      </c>
      <c r="K19" s="8" t="s">
        <v>22</v>
      </c>
      <c r="L19" s="8">
        <v>7</v>
      </c>
      <c r="M19" s="8">
        <v>71</v>
      </c>
      <c r="N19" s="8">
        <v>10.142857142857142</v>
      </c>
      <c r="O19" s="8">
        <v>12.476190476190482</v>
      </c>
      <c r="T19" t="s">
        <v>47</v>
      </c>
      <c r="U19">
        <v>0.17986178018231663</v>
      </c>
      <c r="BB19" s="8" t="s">
        <v>126</v>
      </c>
      <c r="BC19" s="8">
        <v>0.27499999999999991</v>
      </c>
      <c r="BD19" s="8">
        <v>0.24010992852811772</v>
      </c>
      <c r="BE19" s="8">
        <v>1.1453087412326495</v>
      </c>
      <c r="BF19" s="8">
        <v>0.3039248873326228</v>
      </c>
      <c r="BG19" s="8">
        <v>-0.34222222083031328</v>
      </c>
      <c r="BH19" s="8">
        <v>0.89222222083031311</v>
      </c>
      <c r="BI19" s="8">
        <v>-0.34222222083031328</v>
      </c>
      <c r="BJ19" s="8">
        <v>0.89222222083031311</v>
      </c>
    </row>
    <row r="20" spans="6:62" x14ac:dyDescent="0.25">
      <c r="F20" s="5">
        <v>8</v>
      </c>
      <c r="G20" s="5">
        <v>24</v>
      </c>
      <c r="H20" s="5">
        <v>16</v>
      </c>
      <c r="I20" s="7">
        <v>12</v>
      </c>
      <c r="T20" s="19" t="s">
        <v>48</v>
      </c>
      <c r="U20" s="19">
        <v>-0.64027643963536673</v>
      </c>
    </row>
    <row r="21" spans="6:62" x14ac:dyDescent="0.25">
      <c r="T21" t="s">
        <v>32</v>
      </c>
      <c r="U21">
        <v>4.5237596415479882</v>
      </c>
    </row>
    <row r="22" spans="6:62" ht="15.75" thickBot="1" x14ac:dyDescent="0.3">
      <c r="K22" t="s">
        <v>49</v>
      </c>
      <c r="T22" s="8" t="s">
        <v>2</v>
      </c>
      <c r="U22" s="8">
        <v>7</v>
      </c>
    </row>
    <row r="23" spans="6:62" x14ac:dyDescent="0.25">
      <c r="K23" s="9" t="s">
        <v>77</v>
      </c>
      <c r="L23" s="9" t="s">
        <v>55</v>
      </c>
      <c r="M23" s="9" t="s">
        <v>54</v>
      </c>
      <c r="N23" s="9" t="s">
        <v>56</v>
      </c>
      <c r="O23" s="9" t="s">
        <v>57</v>
      </c>
      <c r="P23" s="9" t="s">
        <v>61</v>
      </c>
      <c r="Q23" s="9" t="s">
        <v>78</v>
      </c>
    </row>
    <row r="24" spans="6:62" ht="15.75" thickBot="1" x14ac:dyDescent="0.3">
      <c r="K24" t="s">
        <v>79</v>
      </c>
      <c r="L24">
        <v>201.23809523809518</v>
      </c>
      <c r="M24">
        <v>2</v>
      </c>
      <c r="N24">
        <v>100.61904761904759</v>
      </c>
      <c r="O24">
        <v>2.3530066815144757</v>
      </c>
      <c r="P24" s="19">
        <v>0.12364727338477553</v>
      </c>
      <c r="Q24">
        <v>3.5545571456617879</v>
      </c>
      <c r="T24" t="s">
        <v>49</v>
      </c>
    </row>
    <row r="25" spans="6:62" x14ac:dyDescent="0.25">
      <c r="K25" t="s">
        <v>80</v>
      </c>
      <c r="L25">
        <v>769.71428571428578</v>
      </c>
      <c r="M25">
        <v>18</v>
      </c>
      <c r="N25">
        <v>42.761904761904766</v>
      </c>
      <c r="T25" s="9"/>
      <c r="U25" s="9" t="s">
        <v>54</v>
      </c>
      <c r="V25" s="9" t="s">
        <v>55</v>
      </c>
      <c r="W25" s="9" t="s">
        <v>56</v>
      </c>
      <c r="X25" s="9" t="s">
        <v>57</v>
      </c>
      <c r="Y25" s="9" t="s">
        <v>58</v>
      </c>
    </row>
    <row r="26" spans="6:62" x14ac:dyDescent="0.25">
      <c r="T26" t="s">
        <v>50</v>
      </c>
      <c r="U26">
        <v>3</v>
      </c>
      <c r="V26">
        <v>13.4639389736477</v>
      </c>
      <c r="W26">
        <v>4.4879796578825664</v>
      </c>
      <c r="X26">
        <v>0.21930666787154471</v>
      </c>
      <c r="Y26">
        <v>0.87773291855569679</v>
      </c>
    </row>
    <row r="27" spans="6:62" ht="15.75" thickBot="1" x14ac:dyDescent="0.3">
      <c r="K27" s="8" t="s">
        <v>52</v>
      </c>
      <c r="L27" s="8">
        <v>970.95238095238096</v>
      </c>
      <c r="M27" s="8">
        <v>20</v>
      </c>
      <c r="N27" s="8"/>
      <c r="O27" s="8"/>
      <c r="P27" s="8"/>
      <c r="Q27" s="8"/>
      <c r="T27" t="s">
        <v>51</v>
      </c>
      <c r="U27">
        <v>3</v>
      </c>
      <c r="V27">
        <v>61.393203883495147</v>
      </c>
      <c r="W27">
        <v>20.464401294498384</v>
      </c>
    </row>
    <row r="28" spans="6:62" ht="15.75" thickBot="1" x14ac:dyDescent="0.3">
      <c r="T28" s="8" t="s">
        <v>52</v>
      </c>
      <c r="U28" s="8">
        <v>6</v>
      </c>
      <c r="V28" s="8">
        <v>74.857142857142847</v>
      </c>
      <c r="W28" s="8"/>
      <c r="X28" s="8"/>
      <c r="Y28" s="8"/>
    </row>
    <row r="29" spans="6:62" ht="15.75" thickBot="1" x14ac:dyDescent="0.3"/>
    <row r="30" spans="6:62" x14ac:dyDescent="0.25">
      <c r="G30" t="s">
        <v>72</v>
      </c>
      <c r="T30" s="9"/>
      <c r="U30" s="9" t="s">
        <v>59</v>
      </c>
      <c r="V30" s="9" t="s">
        <v>32</v>
      </c>
      <c r="W30" s="9" t="s">
        <v>60</v>
      </c>
      <c r="X30" s="9" t="s">
        <v>61</v>
      </c>
      <c r="Y30" s="9" t="s">
        <v>62</v>
      </c>
      <c r="Z30" s="9" t="s">
        <v>63</v>
      </c>
      <c r="AA30" s="9" t="s">
        <v>64</v>
      </c>
      <c r="AB30" s="9" t="s">
        <v>65</v>
      </c>
    </row>
    <row r="31" spans="6:62" x14ac:dyDescent="0.25">
      <c r="T31" t="s">
        <v>53</v>
      </c>
      <c r="U31">
        <v>10.497572815533982</v>
      </c>
      <c r="V31">
        <v>10.224106831200732</v>
      </c>
      <c r="W31">
        <v>1.0267471759487801</v>
      </c>
      <c r="X31">
        <v>0.38008958853923963</v>
      </c>
      <c r="Y31">
        <v>-22.04009819424672</v>
      </c>
      <c r="Z31">
        <v>43.03524382531468</v>
      </c>
      <c r="AA31">
        <v>-22.04009819424672</v>
      </c>
      <c r="AB31">
        <v>43.03524382531468</v>
      </c>
    </row>
    <row r="32" spans="6:62" ht="15.75" thickBot="1" x14ac:dyDescent="0.3">
      <c r="G32" t="s">
        <v>73</v>
      </c>
      <c r="T32" t="s">
        <v>125</v>
      </c>
      <c r="U32">
        <v>0.41080097087378625</v>
      </c>
      <c r="V32">
        <v>1.1205988833413871</v>
      </c>
      <c r="W32">
        <v>0.36659055883481273</v>
      </c>
      <c r="X32">
        <v>0.73825404595473354</v>
      </c>
      <c r="Y32">
        <v>-3.1554448051210615</v>
      </c>
      <c r="Z32">
        <v>3.9770467468686341</v>
      </c>
      <c r="AA32">
        <v>-3.1554448051210615</v>
      </c>
      <c r="AB32">
        <v>3.9770467468686341</v>
      </c>
    </row>
    <row r="33" spans="7:28" x14ac:dyDescent="0.25">
      <c r="G33" s="9" t="s">
        <v>74</v>
      </c>
      <c r="H33" s="9" t="s">
        <v>43</v>
      </c>
      <c r="I33" s="9" t="s">
        <v>42</v>
      </c>
      <c r="J33" s="9" t="s">
        <v>75</v>
      </c>
      <c r="K33" s="9" t="s">
        <v>76</v>
      </c>
      <c r="T33" t="s">
        <v>122</v>
      </c>
      <c r="U33">
        <v>3.1553398058252392E-2</v>
      </c>
      <c r="V33">
        <v>0.27295844993806512</v>
      </c>
      <c r="W33">
        <v>0.1155978064258935</v>
      </c>
      <c r="X33">
        <v>0.91527478457354361</v>
      </c>
      <c r="Y33">
        <v>-0.83712221244311125</v>
      </c>
      <c r="Z33">
        <v>0.90022900855961607</v>
      </c>
      <c r="AA33">
        <v>-0.83712221244311125</v>
      </c>
      <c r="AB33">
        <v>0.90022900855961607</v>
      </c>
    </row>
    <row r="34" spans="7:28" ht="15.75" thickBot="1" x14ac:dyDescent="0.3">
      <c r="G34" t="s">
        <v>123</v>
      </c>
      <c r="H34">
        <v>7</v>
      </c>
      <c r="I34">
        <v>15.5</v>
      </c>
      <c r="J34">
        <v>2.2142857142857144</v>
      </c>
      <c r="K34">
        <v>0.82142857142857173</v>
      </c>
      <c r="T34" s="8" t="s">
        <v>123</v>
      </c>
      <c r="U34" s="8">
        <v>-0.20449029126213583</v>
      </c>
      <c r="V34" s="8">
        <v>0.26429088270417922</v>
      </c>
      <c r="W34" s="8">
        <v>-0.77373191677982256</v>
      </c>
      <c r="X34" s="8">
        <v>0.49546695757581449</v>
      </c>
      <c r="Y34" s="8">
        <v>-1.0455818344442211</v>
      </c>
      <c r="Z34" s="8">
        <v>0.63660125191994954</v>
      </c>
      <c r="AA34" s="8">
        <v>-1.0455818344442211</v>
      </c>
      <c r="AB34" s="8">
        <v>0.63660125191994954</v>
      </c>
    </row>
    <row r="35" spans="7:28" ht="15.75" thickBot="1" x14ac:dyDescent="0.3">
      <c r="G35" s="8" t="s">
        <v>22</v>
      </c>
      <c r="H35" s="8">
        <v>7</v>
      </c>
      <c r="I35" s="8">
        <v>71</v>
      </c>
      <c r="J35" s="8">
        <v>10.142857142857142</v>
      </c>
      <c r="K35" s="8">
        <v>12.476190476190482</v>
      </c>
    </row>
    <row r="38" spans="7:28" ht="15.75" thickBot="1" x14ac:dyDescent="0.3">
      <c r="G38" t="s">
        <v>49</v>
      </c>
    </row>
    <row r="39" spans="7:28" x14ac:dyDescent="0.25">
      <c r="G39" s="9" t="s">
        <v>77</v>
      </c>
      <c r="H39" s="9" t="s">
        <v>55</v>
      </c>
      <c r="I39" s="9" t="s">
        <v>54</v>
      </c>
      <c r="J39" s="9" t="s">
        <v>56</v>
      </c>
      <c r="K39" s="9" t="s">
        <v>57</v>
      </c>
      <c r="L39" s="9" t="s">
        <v>61</v>
      </c>
      <c r="M39" s="9" t="s">
        <v>78</v>
      </c>
    </row>
    <row r="40" spans="7:28" x14ac:dyDescent="0.25">
      <c r="G40" t="s">
        <v>79</v>
      </c>
      <c r="H40">
        <v>220.01785714285717</v>
      </c>
      <c r="I40">
        <v>1</v>
      </c>
      <c r="J40">
        <v>220.01785714285717</v>
      </c>
      <c r="K40">
        <v>33.091316025067151</v>
      </c>
      <c r="L40">
        <v>9.1274247060091292E-5</v>
      </c>
      <c r="M40">
        <v>4.7472253467225149</v>
      </c>
    </row>
    <row r="41" spans="7:28" x14ac:dyDescent="0.25">
      <c r="G41" t="s">
        <v>80</v>
      </c>
      <c r="H41">
        <v>79.785714285714278</v>
      </c>
      <c r="I41">
        <v>12</v>
      </c>
      <c r="J41">
        <v>6.6488095238095228</v>
      </c>
    </row>
    <row r="43" spans="7:28" ht="15.75" thickBot="1" x14ac:dyDescent="0.3">
      <c r="G43" s="8" t="s">
        <v>52</v>
      </c>
      <c r="H43" s="8">
        <v>299.80357142857144</v>
      </c>
      <c r="I43" s="8">
        <v>13</v>
      </c>
      <c r="J43" s="8"/>
      <c r="K43" s="8"/>
      <c r="L43" s="8"/>
      <c r="M4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A518-D251-48DF-8C06-0385BFC8D62D}">
  <dimension ref="A1:I10"/>
  <sheetViews>
    <sheetView workbookViewId="0">
      <selection activeCell="C2" sqref="C2"/>
    </sheetView>
  </sheetViews>
  <sheetFormatPr defaultRowHeight="15" x14ac:dyDescent="0.25"/>
  <cols>
    <col min="2" max="2" width="10.85546875" customWidth="1"/>
  </cols>
  <sheetData>
    <row r="1" spans="1:9" ht="63.75" x14ac:dyDescent="0.25">
      <c r="A1" t="s">
        <v>93</v>
      </c>
      <c r="B1" s="1" t="s">
        <v>22</v>
      </c>
      <c r="D1" s="1" t="s">
        <v>122</v>
      </c>
      <c r="E1" s="1" t="s">
        <v>123</v>
      </c>
      <c r="F1" s="1" t="s">
        <v>125</v>
      </c>
      <c r="G1" s="1" t="s">
        <v>174</v>
      </c>
      <c r="H1" s="15" t="s">
        <v>22</v>
      </c>
      <c r="I1" s="15"/>
    </row>
    <row r="2" spans="1:9" x14ac:dyDescent="0.25">
      <c r="A2">
        <v>16</v>
      </c>
      <c r="B2" s="5">
        <v>8</v>
      </c>
      <c r="D2" s="5">
        <v>8</v>
      </c>
      <c r="E2" s="5">
        <v>8</v>
      </c>
      <c r="F2" s="5">
        <v>8</v>
      </c>
      <c r="G2">
        <f>SUM(D2:F2)</f>
        <v>24</v>
      </c>
      <c r="H2" s="5">
        <v>8</v>
      </c>
      <c r="I2" s="5"/>
    </row>
    <row r="3" spans="1:9" x14ac:dyDescent="0.25">
      <c r="A3">
        <v>4</v>
      </c>
      <c r="B3" s="5">
        <v>7</v>
      </c>
      <c r="D3" s="5">
        <v>16</v>
      </c>
      <c r="E3" s="5">
        <v>16</v>
      </c>
      <c r="F3" s="5">
        <v>4</v>
      </c>
      <c r="G3">
        <f t="shared" ref="G3:G8" si="0">SUM(D3:F3)</f>
        <v>36</v>
      </c>
      <c r="H3" s="5">
        <v>7</v>
      </c>
      <c r="I3" s="5"/>
    </row>
    <row r="4" spans="1:9" x14ac:dyDescent="0.25">
      <c r="A4">
        <v>16</v>
      </c>
      <c r="B4" s="5">
        <v>12</v>
      </c>
      <c r="D4" s="5">
        <v>4</v>
      </c>
      <c r="E4" s="5">
        <v>20</v>
      </c>
      <c r="F4" s="5">
        <v>8</v>
      </c>
      <c r="G4">
        <f t="shared" si="0"/>
        <v>32</v>
      </c>
      <c r="H4" s="5">
        <v>12</v>
      </c>
      <c r="I4" s="5"/>
    </row>
    <row r="5" spans="1:9" x14ac:dyDescent="0.25">
      <c r="A5">
        <v>16</v>
      </c>
      <c r="B5" s="5">
        <v>15</v>
      </c>
      <c r="D5" s="5">
        <v>8</v>
      </c>
      <c r="E5" s="5">
        <v>16</v>
      </c>
      <c r="F5" s="5">
        <v>8</v>
      </c>
      <c r="G5">
        <f t="shared" si="0"/>
        <v>32</v>
      </c>
      <c r="H5" s="5">
        <v>15</v>
      </c>
      <c r="I5" s="5"/>
    </row>
    <row r="6" spans="1:9" x14ac:dyDescent="0.25">
      <c r="A6">
        <v>8</v>
      </c>
      <c r="B6" s="5">
        <v>5</v>
      </c>
      <c r="D6" s="5">
        <v>16</v>
      </c>
      <c r="E6" s="5">
        <v>32</v>
      </c>
      <c r="F6" s="5">
        <v>8</v>
      </c>
      <c r="G6">
        <f t="shared" si="0"/>
        <v>56</v>
      </c>
      <c r="H6" s="5">
        <v>5</v>
      </c>
      <c r="I6" s="5"/>
    </row>
    <row r="7" spans="1:9" x14ac:dyDescent="0.25">
      <c r="A7">
        <v>4</v>
      </c>
      <c r="B7" s="5">
        <v>12</v>
      </c>
      <c r="D7" s="5">
        <v>24</v>
      </c>
      <c r="E7" s="5">
        <v>16</v>
      </c>
      <c r="F7" s="5">
        <v>4</v>
      </c>
      <c r="G7">
        <f t="shared" si="0"/>
        <v>44</v>
      </c>
      <c r="H7" s="5">
        <v>12</v>
      </c>
      <c r="I7" s="5"/>
    </row>
    <row r="8" spans="1:9" x14ac:dyDescent="0.25">
      <c r="A8">
        <v>16</v>
      </c>
      <c r="B8" s="5">
        <v>12</v>
      </c>
      <c r="D8" s="5">
        <v>24</v>
      </c>
      <c r="E8" s="5">
        <v>16</v>
      </c>
      <c r="F8" s="5">
        <v>8</v>
      </c>
      <c r="G8">
        <f t="shared" si="0"/>
        <v>48</v>
      </c>
      <c r="H8" s="5">
        <v>12</v>
      </c>
      <c r="I8" s="5"/>
    </row>
    <row r="9" spans="1:9" x14ac:dyDescent="0.25">
      <c r="A9">
        <f>SUM(A2:A8)</f>
        <v>80</v>
      </c>
      <c r="B9" s="5">
        <v>9</v>
      </c>
      <c r="I9" s="5"/>
    </row>
    <row r="10" spans="1:9" x14ac:dyDescent="0.25">
      <c r="A10" s="5">
        <v>2</v>
      </c>
      <c r="B10" s="5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38C5-BFC4-4B9B-9BC4-DADBDE4D189E}">
  <dimension ref="A1:T22"/>
  <sheetViews>
    <sheetView showGridLines="0" topLeftCell="A7" zoomScaleNormal="100" workbookViewId="0">
      <selection activeCell="I27" sqref="I27"/>
    </sheetView>
  </sheetViews>
  <sheetFormatPr defaultRowHeight="15" x14ac:dyDescent="0.25"/>
  <cols>
    <col min="1" max="1" width="13.42578125" customWidth="1"/>
    <col min="2" max="2" width="12.5703125" customWidth="1"/>
    <col min="3" max="3" width="11.28515625" customWidth="1"/>
    <col min="5" max="5" width="10.5703125" customWidth="1"/>
    <col min="9" max="9" width="14.42578125" customWidth="1"/>
  </cols>
  <sheetData>
    <row r="1" spans="1:20" ht="36" customHeight="1" x14ac:dyDescent="0.25">
      <c r="A1" s="56"/>
      <c r="B1" s="80" t="s">
        <v>162</v>
      </c>
      <c r="C1" s="80"/>
      <c r="D1" s="80"/>
      <c r="E1" s="80"/>
      <c r="F1" s="80"/>
      <c r="I1" s="56"/>
      <c r="J1" s="81" t="s">
        <v>166</v>
      </c>
      <c r="K1" s="81"/>
      <c r="L1" s="81"/>
      <c r="M1" s="81"/>
      <c r="N1" s="81"/>
      <c r="O1" s="81"/>
    </row>
    <row r="2" spans="1:20" x14ac:dyDescent="0.25">
      <c r="A2" s="56" t="s">
        <v>155</v>
      </c>
      <c r="B2" s="60">
        <v>8</v>
      </c>
      <c r="C2" s="60">
        <v>16</v>
      </c>
      <c r="D2" s="60">
        <v>20</v>
      </c>
      <c r="E2" s="60">
        <v>32</v>
      </c>
      <c r="F2" s="60" t="s">
        <v>148</v>
      </c>
      <c r="I2" s="56" t="s">
        <v>155</v>
      </c>
      <c r="J2" s="60">
        <v>16</v>
      </c>
      <c r="K2" s="60">
        <v>24</v>
      </c>
      <c r="L2" s="60">
        <v>32</v>
      </c>
      <c r="M2" s="60">
        <v>40</v>
      </c>
      <c r="N2" s="60">
        <v>48</v>
      </c>
      <c r="O2" s="60" t="s">
        <v>148</v>
      </c>
    </row>
    <row r="3" spans="1:20" x14ac:dyDescent="0.25">
      <c r="A3" s="55" t="s">
        <v>145</v>
      </c>
      <c r="B3" s="61">
        <v>8</v>
      </c>
      <c r="C3" s="61">
        <v>46</v>
      </c>
      <c r="D3" s="61">
        <v>12</v>
      </c>
      <c r="E3" s="61">
        <v>5</v>
      </c>
      <c r="F3" s="62">
        <f>SUM(B3:E3)</f>
        <v>71</v>
      </c>
      <c r="I3" s="55" t="s">
        <v>145</v>
      </c>
      <c r="J3" s="61">
        <v>8</v>
      </c>
      <c r="K3" s="61">
        <v>27</v>
      </c>
      <c r="L3" s="61">
        <v>7</v>
      </c>
      <c r="M3" s="61">
        <v>24</v>
      </c>
      <c r="N3" s="61">
        <v>5</v>
      </c>
      <c r="O3" s="62">
        <f>SUM(J3:N3)</f>
        <v>71</v>
      </c>
    </row>
    <row r="4" spans="1:20" x14ac:dyDescent="0.25">
      <c r="A4" s="55" t="s">
        <v>146</v>
      </c>
      <c r="B4" s="61">
        <f>25-B3</f>
        <v>17</v>
      </c>
      <c r="C4" s="61">
        <f>100-C3</f>
        <v>54</v>
      </c>
      <c r="D4" s="61">
        <f>25-D3</f>
        <v>13</v>
      </c>
      <c r="E4" s="61">
        <f>25-E3</f>
        <v>20</v>
      </c>
      <c r="F4" s="62">
        <f>SUM(B4:E4)</f>
        <v>104</v>
      </c>
      <c r="I4" s="55" t="s">
        <v>146</v>
      </c>
      <c r="J4" s="61">
        <f>25-J3</f>
        <v>17</v>
      </c>
      <c r="K4" s="61">
        <f>50-K3</f>
        <v>23</v>
      </c>
      <c r="L4" s="61">
        <f>25-L3</f>
        <v>18</v>
      </c>
      <c r="M4" s="61">
        <f>50-M3</f>
        <v>26</v>
      </c>
      <c r="N4" s="61">
        <f>25-N3</f>
        <v>20</v>
      </c>
      <c r="O4" s="62">
        <f>SUM(J4:N4)</f>
        <v>104</v>
      </c>
    </row>
    <row r="5" spans="1:20" x14ac:dyDescent="0.25">
      <c r="A5" s="56" t="s">
        <v>148</v>
      </c>
      <c r="B5" s="62">
        <f>SUM(B3:B4)</f>
        <v>25</v>
      </c>
      <c r="C5" s="62">
        <f>SUM(C3:C4)</f>
        <v>100</v>
      </c>
      <c r="D5" s="62">
        <f>SUM(D3:D4)</f>
        <v>25</v>
      </c>
      <c r="E5" s="62">
        <f>SUM(E3:E4)</f>
        <v>25</v>
      </c>
      <c r="F5" s="62">
        <f>F3+F4</f>
        <v>175</v>
      </c>
      <c r="I5" s="56" t="s">
        <v>148</v>
      </c>
      <c r="J5" s="62">
        <f>SUM(J3:J4)</f>
        <v>25</v>
      </c>
      <c r="K5" s="62">
        <f>SUM(K3:K4)</f>
        <v>50</v>
      </c>
      <c r="L5" s="62">
        <f>SUM(L3:L4)</f>
        <v>25</v>
      </c>
      <c r="M5" s="62">
        <f>SUM(M3:M4)</f>
        <v>50</v>
      </c>
      <c r="N5" s="62">
        <f>SUM(N3:N4)</f>
        <v>25</v>
      </c>
      <c r="O5" s="62">
        <f>O3+O4</f>
        <v>175</v>
      </c>
    </row>
    <row r="7" spans="1:20" s="63" customFormat="1" ht="33" customHeight="1" x14ac:dyDescent="0.25">
      <c r="B7" s="64" t="s">
        <v>152</v>
      </c>
      <c r="C7" s="64" t="s">
        <v>151</v>
      </c>
      <c r="D7" s="64" t="s">
        <v>154</v>
      </c>
      <c r="E7" s="64" t="s">
        <v>153</v>
      </c>
      <c r="F7" s="64"/>
      <c r="I7" s="69"/>
      <c r="J7" s="70" t="s">
        <v>152</v>
      </c>
      <c r="K7" s="70" t="s">
        <v>151</v>
      </c>
      <c r="L7" s="70" t="s">
        <v>154</v>
      </c>
      <c r="M7" s="70" t="s">
        <v>153</v>
      </c>
      <c r="N7" s="64"/>
      <c r="O7" s="64"/>
      <c r="P7" s="63" t="s">
        <v>147</v>
      </c>
      <c r="Q7" s="63" t="s">
        <v>122</v>
      </c>
      <c r="R7" s="63" t="s">
        <v>123</v>
      </c>
      <c r="S7" s="63" t="s">
        <v>167</v>
      </c>
      <c r="T7" s="63" t="s">
        <v>22</v>
      </c>
    </row>
    <row r="8" spans="1:20" x14ac:dyDescent="0.25">
      <c r="A8" t="s">
        <v>149</v>
      </c>
      <c r="B8" s="59">
        <v>8</v>
      </c>
      <c r="C8" s="59">
        <f>(F3*B5)/F5</f>
        <v>10.142857142857142</v>
      </c>
      <c r="D8" s="59">
        <f>(B8-C8)^2</f>
        <v>4.5918367346938753</v>
      </c>
      <c r="E8" s="59">
        <f>D8/C8</f>
        <v>0.45271629778672012</v>
      </c>
      <c r="F8" s="59"/>
      <c r="I8" s="55" t="s">
        <v>149</v>
      </c>
      <c r="J8" s="71">
        <v>8</v>
      </c>
      <c r="K8" s="71">
        <f>(O3*J5)/O5</f>
        <v>10.142857142857142</v>
      </c>
      <c r="L8" s="71">
        <f>(J8-K8)^2</f>
        <v>4.5918367346938753</v>
      </c>
      <c r="M8" s="71">
        <f>L8/K8</f>
        <v>0.45271629778672012</v>
      </c>
      <c r="N8" s="59"/>
      <c r="O8" s="59"/>
      <c r="P8" s="65">
        <v>1</v>
      </c>
      <c r="Q8" s="65">
        <v>8</v>
      </c>
      <c r="R8" s="65">
        <v>8</v>
      </c>
      <c r="S8" s="65">
        <f>Q8+R8</f>
        <v>16</v>
      </c>
      <c r="T8" s="65">
        <v>8</v>
      </c>
    </row>
    <row r="9" spans="1:20" x14ac:dyDescent="0.25">
      <c r="A9" t="s">
        <v>156</v>
      </c>
      <c r="B9" s="59">
        <v>46</v>
      </c>
      <c r="C9" s="59">
        <f>(F3*C5)/F5</f>
        <v>40.571428571428569</v>
      </c>
      <c r="D9" s="59">
        <f t="shared" ref="D9:D15" si="0">(B9-C9)^2</f>
        <v>29.469387755102062</v>
      </c>
      <c r="E9" s="59">
        <f t="shared" ref="E9:E15" si="1">D9/C9</f>
        <v>0.7263581488933607</v>
      </c>
      <c r="F9" s="59"/>
      <c r="I9" s="55" t="s">
        <v>168</v>
      </c>
      <c r="J9" s="71">
        <v>27</v>
      </c>
      <c r="K9" s="71">
        <f>(O3*K5)/O5</f>
        <v>20.285714285714285</v>
      </c>
      <c r="L9" s="71">
        <f t="shared" ref="L9:L17" si="2">(J9-K9)^2</f>
        <v>45.081632653061241</v>
      </c>
      <c r="M9" s="71">
        <f t="shared" ref="M9:M17" si="3">L9/K9</f>
        <v>2.2223340040241459</v>
      </c>
      <c r="N9" s="59"/>
      <c r="O9" s="59"/>
      <c r="P9" s="65">
        <v>2</v>
      </c>
      <c r="Q9" s="65">
        <v>16</v>
      </c>
      <c r="R9" s="65">
        <v>16</v>
      </c>
      <c r="S9" s="65">
        <f t="shared" ref="S9:S14" si="4">Q9+R9</f>
        <v>32</v>
      </c>
      <c r="T9" s="65">
        <v>7</v>
      </c>
    </row>
    <row r="10" spans="1:20" x14ac:dyDescent="0.25">
      <c r="A10" t="s">
        <v>157</v>
      </c>
      <c r="B10" s="59">
        <v>12</v>
      </c>
      <c r="C10" s="59">
        <f>(F3*D5)/F5</f>
        <v>10.142857142857142</v>
      </c>
      <c r="D10" s="59">
        <f t="shared" si="0"/>
        <v>3.4489795918367365</v>
      </c>
      <c r="E10" s="59">
        <f t="shared" si="1"/>
        <v>0.34004024144869233</v>
      </c>
      <c r="F10" s="59"/>
      <c r="I10" s="55" t="s">
        <v>158</v>
      </c>
      <c r="J10" s="71">
        <v>7</v>
      </c>
      <c r="K10" s="71">
        <f>(O3*L5)/O5</f>
        <v>10.142857142857142</v>
      </c>
      <c r="L10" s="71">
        <f t="shared" si="2"/>
        <v>9.8775510204081609</v>
      </c>
      <c r="M10" s="71">
        <f t="shared" si="3"/>
        <v>0.97384305835010043</v>
      </c>
      <c r="N10" s="59"/>
      <c r="O10" s="59"/>
      <c r="P10" s="65">
        <v>3</v>
      </c>
      <c r="Q10" s="65">
        <v>4</v>
      </c>
      <c r="R10" s="65">
        <v>20</v>
      </c>
      <c r="S10" s="65">
        <f t="shared" si="4"/>
        <v>24</v>
      </c>
      <c r="T10" s="65">
        <v>12</v>
      </c>
    </row>
    <row r="11" spans="1:20" x14ac:dyDescent="0.25">
      <c r="A11" t="s">
        <v>158</v>
      </c>
      <c r="B11" s="59">
        <v>5</v>
      </c>
      <c r="C11" s="59">
        <f>(F3*E5)/F5</f>
        <v>10.142857142857142</v>
      </c>
      <c r="D11" s="59">
        <f t="shared" si="0"/>
        <v>26.448979591836729</v>
      </c>
      <c r="E11" s="59">
        <f t="shared" si="1"/>
        <v>2.6076458752515084</v>
      </c>
      <c r="F11" s="59"/>
      <c r="I11" s="55" t="s">
        <v>169</v>
      </c>
      <c r="J11" s="71">
        <v>24</v>
      </c>
      <c r="K11" s="71">
        <f>(O3*M5)/O5</f>
        <v>20.285714285714285</v>
      </c>
      <c r="L11" s="71">
        <f t="shared" si="2"/>
        <v>13.795918367346946</v>
      </c>
      <c r="M11" s="71">
        <f t="shared" si="3"/>
        <v>0.68008048289738465</v>
      </c>
      <c r="N11" s="59"/>
      <c r="O11" s="59"/>
      <c r="P11" s="65">
        <v>4</v>
      </c>
      <c r="Q11" s="65">
        <v>8</v>
      </c>
      <c r="R11" s="65">
        <v>16</v>
      </c>
      <c r="S11" s="65">
        <f t="shared" si="4"/>
        <v>24</v>
      </c>
      <c r="T11" s="65">
        <v>15</v>
      </c>
    </row>
    <row r="12" spans="1:20" x14ac:dyDescent="0.25">
      <c r="A12" t="s">
        <v>150</v>
      </c>
      <c r="B12" s="59">
        <v>17</v>
      </c>
      <c r="C12" s="59">
        <f>(F4*B5)/F5</f>
        <v>14.857142857142858</v>
      </c>
      <c r="D12" s="59">
        <f t="shared" si="0"/>
        <v>4.5918367346938753</v>
      </c>
      <c r="E12" s="59">
        <f t="shared" si="1"/>
        <v>0.30906593406593391</v>
      </c>
      <c r="F12" s="59"/>
      <c r="I12" s="55" t="s">
        <v>170</v>
      </c>
      <c r="J12" s="71">
        <v>5</v>
      </c>
      <c r="K12" s="71">
        <f>(O3*N5)/O5</f>
        <v>10.142857142857142</v>
      </c>
      <c r="L12" s="71">
        <f t="shared" si="2"/>
        <v>26.448979591836729</v>
      </c>
      <c r="M12" s="71">
        <f t="shared" si="3"/>
        <v>2.6076458752515084</v>
      </c>
      <c r="N12" s="59"/>
      <c r="O12" s="59"/>
      <c r="P12" s="65">
        <v>5</v>
      </c>
      <c r="Q12" s="65">
        <v>16</v>
      </c>
      <c r="R12" s="65">
        <v>32</v>
      </c>
      <c r="S12" s="65">
        <f t="shared" si="4"/>
        <v>48</v>
      </c>
      <c r="T12" s="65">
        <v>5</v>
      </c>
    </row>
    <row r="13" spans="1:20" x14ac:dyDescent="0.25">
      <c r="A13" t="s">
        <v>159</v>
      </c>
      <c r="B13" s="59">
        <v>54</v>
      </c>
      <c r="C13" s="59">
        <f>(F4*C5)/F5</f>
        <v>59.428571428571431</v>
      </c>
      <c r="D13" s="59">
        <f t="shared" si="0"/>
        <v>29.469387755102062</v>
      </c>
      <c r="E13" s="59">
        <f t="shared" si="1"/>
        <v>0.49587912087912123</v>
      </c>
      <c r="F13" s="59"/>
      <c r="I13" s="55" t="s">
        <v>150</v>
      </c>
      <c r="J13" s="71">
        <v>17</v>
      </c>
      <c r="K13" s="71">
        <f>(O4*J5)/O5</f>
        <v>14.857142857142858</v>
      </c>
      <c r="L13" s="71">
        <f t="shared" si="2"/>
        <v>4.5918367346938753</v>
      </c>
      <c r="M13" s="71">
        <f t="shared" si="3"/>
        <v>0.30906593406593391</v>
      </c>
      <c r="N13" s="59"/>
      <c r="O13" s="59"/>
      <c r="P13" s="65">
        <v>6</v>
      </c>
      <c r="Q13" s="65">
        <v>24</v>
      </c>
      <c r="R13" s="65">
        <v>16</v>
      </c>
      <c r="S13" s="65">
        <f t="shared" si="4"/>
        <v>40</v>
      </c>
      <c r="T13" s="65">
        <v>12</v>
      </c>
    </row>
    <row r="14" spans="1:20" x14ac:dyDescent="0.25">
      <c r="A14" t="s">
        <v>160</v>
      </c>
      <c r="B14" s="59">
        <v>13</v>
      </c>
      <c r="C14" s="59">
        <f>(F4*D5)/F5</f>
        <v>14.857142857142858</v>
      </c>
      <c r="D14" s="59">
        <f t="shared" si="0"/>
        <v>3.4489795918367365</v>
      </c>
      <c r="E14" s="59">
        <f t="shared" si="1"/>
        <v>0.23214285714285726</v>
      </c>
      <c r="F14" s="59"/>
      <c r="I14" s="55" t="s">
        <v>171</v>
      </c>
      <c r="J14" s="71">
        <v>23</v>
      </c>
      <c r="K14" s="71">
        <f>(O4*K5)/O5</f>
        <v>29.714285714285715</v>
      </c>
      <c r="L14" s="71">
        <f t="shared" si="2"/>
        <v>45.081632653061241</v>
      </c>
      <c r="M14" s="71">
        <f t="shared" si="3"/>
        <v>1.5171703296703303</v>
      </c>
      <c r="N14" s="59"/>
      <c r="O14" s="59"/>
      <c r="P14" s="65">
        <v>7</v>
      </c>
      <c r="Q14" s="65">
        <v>24</v>
      </c>
      <c r="R14" s="65">
        <v>16</v>
      </c>
      <c r="S14" s="65">
        <f t="shared" si="4"/>
        <v>40</v>
      </c>
      <c r="T14" s="65">
        <v>12</v>
      </c>
    </row>
    <row r="15" spans="1:20" x14ac:dyDescent="0.25">
      <c r="A15" t="s">
        <v>161</v>
      </c>
      <c r="B15" s="59">
        <v>20</v>
      </c>
      <c r="C15" s="59">
        <f>(F4*E5)/F5</f>
        <v>14.857142857142858</v>
      </c>
      <c r="D15" s="59">
        <f t="shared" si="0"/>
        <v>26.448979591836729</v>
      </c>
      <c r="E15" s="59">
        <f t="shared" si="1"/>
        <v>1.7802197802197797</v>
      </c>
      <c r="F15" s="59"/>
      <c r="I15" s="55" t="s">
        <v>161</v>
      </c>
      <c r="J15" s="71">
        <v>18</v>
      </c>
      <c r="K15" s="71">
        <f>(O4*L5)/O5</f>
        <v>14.857142857142858</v>
      </c>
      <c r="L15" s="71">
        <f t="shared" si="2"/>
        <v>9.8775510204081609</v>
      </c>
      <c r="M15" s="71">
        <f t="shared" si="3"/>
        <v>0.66483516483516469</v>
      </c>
      <c r="N15" s="59"/>
      <c r="O15" s="59"/>
      <c r="Q15" s="65"/>
      <c r="R15" s="65"/>
      <c r="S15" s="65"/>
      <c r="T15" s="65"/>
    </row>
    <row r="16" spans="1:20" x14ac:dyDescent="0.25">
      <c r="B16" s="59"/>
      <c r="C16" s="59"/>
      <c r="D16" s="59"/>
      <c r="E16" s="59">
        <f>SUM(E8:E15)</f>
        <v>6.9440682556879754</v>
      </c>
      <c r="F16" s="59"/>
      <c r="I16" s="55" t="s">
        <v>172</v>
      </c>
      <c r="J16" s="71">
        <v>26</v>
      </c>
      <c r="K16" s="71">
        <f>(O4*M5)/O5</f>
        <v>29.714285714285715</v>
      </c>
      <c r="L16" s="71">
        <f t="shared" si="2"/>
        <v>13.795918367346946</v>
      </c>
      <c r="M16" s="71">
        <f t="shared" si="3"/>
        <v>0.46428571428571452</v>
      </c>
      <c r="N16" s="59"/>
      <c r="O16" s="59"/>
    </row>
    <row r="17" spans="2:15" x14ac:dyDescent="0.25">
      <c r="B17" s="59"/>
      <c r="C17" s="59"/>
      <c r="D17" s="59"/>
      <c r="E17" s="59"/>
      <c r="F17" s="59"/>
      <c r="I17" s="55" t="s">
        <v>173</v>
      </c>
      <c r="J17" s="71">
        <v>20</v>
      </c>
      <c r="K17" s="71">
        <f>(O4*N5)/O5</f>
        <v>14.857142857142858</v>
      </c>
      <c r="L17" s="71">
        <f t="shared" si="2"/>
        <v>26.448979591836729</v>
      </c>
      <c r="M17" s="71">
        <f t="shared" si="3"/>
        <v>1.7802197802197797</v>
      </c>
      <c r="N17" s="59"/>
      <c r="O17" s="59"/>
    </row>
    <row r="18" spans="2:15" x14ac:dyDescent="0.25">
      <c r="B18" s="59"/>
      <c r="C18" s="59"/>
      <c r="D18" s="59"/>
      <c r="E18" s="59"/>
      <c r="F18" s="59"/>
      <c r="J18" s="59"/>
      <c r="K18" s="59"/>
      <c r="L18" s="66" t="s">
        <v>177</v>
      </c>
      <c r="M18" s="59">
        <f>SUM(M8:M17)</f>
        <v>11.672196641386783</v>
      </c>
      <c r="N18" s="59"/>
      <c r="O18" s="59"/>
    </row>
    <row r="19" spans="2:15" x14ac:dyDescent="0.25">
      <c r="B19" s="59"/>
      <c r="C19" s="59"/>
      <c r="D19" s="59"/>
      <c r="E19" s="59" t="s">
        <v>163</v>
      </c>
      <c r="F19" s="59" t="s">
        <v>164</v>
      </c>
      <c r="J19" s="59"/>
      <c r="K19" s="59"/>
      <c r="L19" s="59"/>
      <c r="M19" s="66"/>
      <c r="N19" s="66" t="s">
        <v>163</v>
      </c>
      <c r="O19" s="65" t="s">
        <v>164</v>
      </c>
    </row>
    <row r="20" spans="2:15" x14ac:dyDescent="0.25">
      <c r="B20" s="59"/>
      <c r="C20" s="59"/>
      <c r="D20" s="59"/>
      <c r="E20" s="59"/>
      <c r="F20" s="59">
        <f>(2-1)*(4-1)</f>
        <v>3</v>
      </c>
      <c r="J20" s="59"/>
      <c r="K20" s="59"/>
      <c r="L20" s="59"/>
      <c r="M20" s="59"/>
      <c r="N20" s="59"/>
      <c r="O20" s="65">
        <f>(2-1)*(5-1)</f>
        <v>4</v>
      </c>
    </row>
    <row r="21" spans="2:15" x14ac:dyDescent="0.25">
      <c r="B21" s="59"/>
      <c r="C21" s="59"/>
      <c r="D21" s="59"/>
      <c r="E21" s="59"/>
      <c r="F21" s="59"/>
      <c r="I21" s="67"/>
      <c r="J21" s="68"/>
      <c r="K21" s="68"/>
      <c r="L21" s="68"/>
      <c r="M21" s="72"/>
      <c r="N21" s="72" t="s">
        <v>165</v>
      </c>
      <c r="O21" s="73">
        <v>2.5000000000000001E-2</v>
      </c>
    </row>
    <row r="22" spans="2:15" x14ac:dyDescent="0.25">
      <c r="E22" s="59" t="s">
        <v>165</v>
      </c>
      <c r="F22">
        <v>0.1</v>
      </c>
    </row>
  </sheetData>
  <mergeCells count="2">
    <mergeCell ref="B1:F1"/>
    <mergeCell ref="J1:O1"/>
  </mergeCells>
  <pageMargins left="0.7" right="0.7" top="0.75" bottom="0.75" header="0.3" footer="0.3"/>
  <pageSetup orientation="portrait" r:id="rId1"/>
  <ignoredErrors>
    <ignoredError sqref="C4 K4: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933D-83FA-41D8-BBB4-EE6E10204755}">
  <dimension ref="A1:N8"/>
  <sheetViews>
    <sheetView workbookViewId="0">
      <selection activeCell="E28" sqref="E28"/>
    </sheetView>
  </sheetViews>
  <sheetFormatPr defaultRowHeight="12.75" x14ac:dyDescent="0.25"/>
  <cols>
    <col min="1" max="6" width="9.140625" style="2"/>
    <col min="7" max="7" width="11.28515625" style="2" customWidth="1"/>
    <col min="8" max="16384" width="9.140625" style="2"/>
  </cols>
  <sheetData>
    <row r="1" spans="1:14" ht="63.75" x14ac:dyDescent="0.25">
      <c r="A1" s="1" t="s">
        <v>122</v>
      </c>
      <c r="B1" s="1" t="s">
        <v>123</v>
      </c>
      <c r="C1" s="1" t="s">
        <v>124</v>
      </c>
      <c r="D1" s="1" t="s">
        <v>125</v>
      </c>
      <c r="E1" s="1" t="s">
        <v>126</v>
      </c>
      <c r="F1" s="1"/>
      <c r="G1" s="2" t="s">
        <v>22</v>
      </c>
      <c r="J1" s="1"/>
      <c r="K1" s="1"/>
      <c r="L1" s="1"/>
      <c r="M1" s="1"/>
      <c r="N1" s="1"/>
    </row>
    <row r="2" spans="1:14" x14ac:dyDescent="0.25">
      <c r="A2" s="2">
        <v>8</v>
      </c>
      <c r="B2" s="2">
        <v>8</v>
      </c>
      <c r="C2" s="2">
        <v>16</v>
      </c>
      <c r="D2" s="2">
        <v>8</v>
      </c>
      <c r="E2" s="2">
        <v>16</v>
      </c>
      <c r="G2" s="2">
        <v>8</v>
      </c>
    </row>
    <row r="3" spans="1:14" x14ac:dyDescent="0.25">
      <c r="A3" s="2">
        <v>16</v>
      </c>
      <c r="B3" s="2">
        <v>16</v>
      </c>
      <c r="C3" s="2">
        <v>4</v>
      </c>
      <c r="D3" s="2">
        <v>4</v>
      </c>
      <c r="E3" s="2">
        <v>4</v>
      </c>
      <c r="G3" s="2">
        <v>7</v>
      </c>
    </row>
    <row r="4" spans="1:14" x14ac:dyDescent="0.25">
      <c r="A4" s="2">
        <v>4</v>
      </c>
      <c r="B4" s="2">
        <v>20</v>
      </c>
      <c r="C4" s="2">
        <v>16</v>
      </c>
      <c r="D4" s="2">
        <v>8</v>
      </c>
      <c r="E4" s="2">
        <v>16</v>
      </c>
      <c r="G4" s="2">
        <v>12</v>
      </c>
    </row>
    <row r="5" spans="1:14" x14ac:dyDescent="0.25">
      <c r="A5" s="2">
        <v>8</v>
      </c>
      <c r="B5" s="2">
        <v>16</v>
      </c>
      <c r="C5" s="2">
        <v>8</v>
      </c>
      <c r="D5" s="2">
        <v>8</v>
      </c>
      <c r="E5" s="2">
        <v>16</v>
      </c>
      <c r="G5" s="2">
        <v>15</v>
      </c>
    </row>
    <row r="6" spans="1:14" x14ac:dyDescent="0.25">
      <c r="A6" s="2">
        <v>16</v>
      </c>
      <c r="B6" s="2">
        <v>32</v>
      </c>
      <c r="C6" s="2">
        <v>4</v>
      </c>
      <c r="D6" s="2">
        <v>8</v>
      </c>
      <c r="E6" s="2">
        <v>8</v>
      </c>
      <c r="G6" s="2">
        <v>5</v>
      </c>
    </row>
    <row r="7" spans="1:14" x14ac:dyDescent="0.25">
      <c r="A7" s="2">
        <v>24</v>
      </c>
      <c r="B7" s="2">
        <v>16</v>
      </c>
      <c r="C7" s="2">
        <v>8</v>
      </c>
      <c r="D7" s="2">
        <v>4</v>
      </c>
      <c r="E7" s="2">
        <v>4</v>
      </c>
      <c r="G7" s="2">
        <v>12</v>
      </c>
    </row>
    <row r="8" spans="1:14" x14ac:dyDescent="0.25">
      <c r="A8" s="2">
        <v>24</v>
      </c>
      <c r="B8" s="2">
        <v>16</v>
      </c>
      <c r="C8" s="2">
        <v>8</v>
      </c>
      <c r="D8" s="2">
        <v>8</v>
      </c>
      <c r="E8" s="2">
        <v>16</v>
      </c>
      <c r="G8" s="2">
        <v>12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EB20-4EE2-4667-8771-01BD26DB14C6}">
  <dimension ref="A1:E8"/>
  <sheetViews>
    <sheetView workbookViewId="0">
      <selection activeCell="K28" sqref="K28"/>
    </sheetView>
  </sheetViews>
  <sheetFormatPr defaultRowHeight="15" x14ac:dyDescent="0.25"/>
  <sheetData>
    <row r="1" spans="1:5" ht="25.5" x14ac:dyDescent="0.25">
      <c r="A1" s="1" t="s">
        <v>22</v>
      </c>
      <c r="D1" t="s">
        <v>141</v>
      </c>
      <c r="E1" t="s">
        <v>142</v>
      </c>
    </row>
    <row r="2" spans="1:5" x14ac:dyDescent="0.25">
      <c r="A2">
        <v>8</v>
      </c>
      <c r="D2">
        <v>5</v>
      </c>
      <c r="E2">
        <v>1</v>
      </c>
    </row>
    <row r="3" spans="1:5" x14ac:dyDescent="0.25">
      <c r="A3">
        <v>7</v>
      </c>
      <c r="D3">
        <v>7</v>
      </c>
      <c r="E3">
        <v>1</v>
      </c>
    </row>
    <row r="4" spans="1:5" x14ac:dyDescent="0.25">
      <c r="A4">
        <v>12</v>
      </c>
      <c r="D4">
        <v>8</v>
      </c>
      <c r="E4">
        <v>1</v>
      </c>
    </row>
    <row r="5" spans="1:5" x14ac:dyDescent="0.25">
      <c r="A5">
        <v>15</v>
      </c>
      <c r="D5">
        <v>12</v>
      </c>
      <c r="E5">
        <v>3</v>
      </c>
    </row>
    <row r="6" spans="1:5" x14ac:dyDescent="0.25">
      <c r="A6">
        <v>5</v>
      </c>
      <c r="D6">
        <v>15</v>
      </c>
      <c r="E6">
        <v>1</v>
      </c>
    </row>
    <row r="7" spans="1:5" x14ac:dyDescent="0.25">
      <c r="A7">
        <v>12</v>
      </c>
    </row>
    <row r="8" spans="1:5" x14ac:dyDescent="0.25">
      <c r="A8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83614-FB7E-48CC-817A-CB73AB736850}">
  <dimension ref="A1:AH32"/>
  <sheetViews>
    <sheetView showGridLines="0" workbookViewId="0">
      <selection activeCell="A16" sqref="A16:B23"/>
    </sheetView>
  </sheetViews>
  <sheetFormatPr defaultRowHeight="12" x14ac:dyDescent="0.2"/>
  <cols>
    <col min="1" max="1" width="16.140625" style="27" bestFit="1" customWidth="1"/>
    <col min="2" max="2" width="7.7109375" style="27" customWidth="1"/>
    <col min="3" max="3" width="9.5703125" style="27" bestFit="1" customWidth="1"/>
    <col min="4" max="4" width="11.85546875" style="27" bestFit="1" customWidth="1"/>
    <col min="5" max="5" width="11.42578125" style="27" customWidth="1"/>
    <col min="6" max="6" width="7.7109375" style="27" customWidth="1"/>
    <col min="7" max="7" width="8.42578125" style="27" customWidth="1"/>
    <col min="8" max="8" width="11" style="27" customWidth="1"/>
    <col min="9" max="11" width="10.7109375" style="27" customWidth="1"/>
    <col min="12" max="12" width="8.42578125" style="27" customWidth="1"/>
    <col min="13" max="14" width="8.28515625" style="27" customWidth="1"/>
    <col min="15" max="15" width="10.7109375" style="27" customWidth="1"/>
    <col min="16" max="16" width="10.85546875" style="27" customWidth="1"/>
    <col min="17" max="19" width="10.7109375" style="27" customWidth="1"/>
    <col min="20" max="20" width="10" style="27" customWidth="1"/>
    <col min="21" max="21" width="9.7109375" style="27" customWidth="1"/>
    <col min="22" max="27" width="9.140625" style="27"/>
    <col min="28" max="28" width="9.140625" style="44"/>
    <col min="29" max="16384" width="9.140625" style="27"/>
  </cols>
  <sheetData>
    <row r="1" spans="1:34" s="34" customFormat="1" ht="61.5" customHeight="1" x14ac:dyDescent="0.25">
      <c r="A1" s="1" t="s">
        <v>71</v>
      </c>
      <c r="B1" s="1" t="s">
        <v>1</v>
      </c>
      <c r="C1" s="1" t="s">
        <v>3</v>
      </c>
      <c r="D1" s="1" t="s">
        <v>29</v>
      </c>
      <c r="E1" s="1" t="s">
        <v>23</v>
      </c>
      <c r="F1" s="1" t="s">
        <v>2</v>
      </c>
      <c r="G1" s="1" t="s">
        <v>14</v>
      </c>
      <c r="H1" s="1" t="s">
        <v>19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  <c r="P1" s="1" t="s">
        <v>129</v>
      </c>
      <c r="Q1" s="1" t="s">
        <v>26</v>
      </c>
      <c r="R1" s="1" t="s">
        <v>27</v>
      </c>
      <c r="S1" s="1" t="s">
        <v>15</v>
      </c>
      <c r="T1" s="1" t="s">
        <v>130</v>
      </c>
      <c r="U1" s="1" t="s">
        <v>131</v>
      </c>
      <c r="V1" s="1" t="s">
        <v>22</v>
      </c>
      <c r="W1" s="34" t="s">
        <v>22</v>
      </c>
      <c r="Y1" s="34" t="s">
        <v>131</v>
      </c>
      <c r="Z1" s="34" t="s">
        <v>136</v>
      </c>
      <c r="AB1" s="1" t="s">
        <v>122</v>
      </c>
      <c r="AC1" s="1" t="s">
        <v>123</v>
      </c>
      <c r="AD1" s="1" t="s">
        <v>124</v>
      </c>
      <c r="AE1" s="1" t="s">
        <v>125</v>
      </c>
      <c r="AF1" s="1" t="s">
        <v>126</v>
      </c>
    </row>
    <row r="2" spans="1:34" ht="12.75" x14ac:dyDescent="0.2">
      <c r="A2" s="5">
        <v>1</v>
      </c>
      <c r="B2" s="2" t="s">
        <v>18</v>
      </c>
      <c r="C2" s="2" t="s">
        <v>17</v>
      </c>
      <c r="D2" s="2">
        <v>2019</v>
      </c>
      <c r="E2" s="2" t="s">
        <v>25</v>
      </c>
      <c r="F2" s="2">
        <v>5856</v>
      </c>
      <c r="G2" s="4">
        <v>43756</v>
      </c>
      <c r="H2" s="4" t="s">
        <v>21</v>
      </c>
      <c r="I2" s="5">
        <v>8</v>
      </c>
      <c r="J2" s="5">
        <v>8</v>
      </c>
      <c r="K2" s="5">
        <v>16</v>
      </c>
      <c r="L2" s="5">
        <v>8</v>
      </c>
      <c r="M2" s="5">
        <v>16</v>
      </c>
      <c r="N2" s="5">
        <v>8</v>
      </c>
      <c r="O2" s="5">
        <v>4</v>
      </c>
      <c r="P2" s="5">
        <v>4</v>
      </c>
      <c r="Q2" s="5">
        <v>6</v>
      </c>
      <c r="R2" s="5">
        <v>2</v>
      </c>
      <c r="S2" s="6">
        <v>43769</v>
      </c>
      <c r="T2" s="5">
        <f t="shared" ref="T2:T10" si="0">SUM(J2:M2)</f>
        <v>48</v>
      </c>
      <c r="U2" s="5">
        <f t="shared" ref="U2:U10" si="1">SUM(I2:P2)</f>
        <v>72</v>
      </c>
      <c r="V2" s="5">
        <f t="shared" ref="V2:V8" si="2">Q2+R2</f>
        <v>8</v>
      </c>
      <c r="W2" s="27">
        <v>8</v>
      </c>
      <c r="Y2" s="27">
        <v>72</v>
      </c>
      <c r="AB2" s="5">
        <v>8</v>
      </c>
      <c r="AC2" s="5">
        <v>8</v>
      </c>
      <c r="AD2" s="5">
        <v>16</v>
      </c>
      <c r="AE2" s="5">
        <v>8</v>
      </c>
      <c r="AF2" s="5">
        <v>16</v>
      </c>
    </row>
    <row r="3" spans="1:34" ht="12.75" x14ac:dyDescent="0.2">
      <c r="A3" s="5">
        <v>2</v>
      </c>
      <c r="B3" s="2" t="s">
        <v>16</v>
      </c>
      <c r="C3" s="2" t="s">
        <v>17</v>
      </c>
      <c r="D3" s="2">
        <v>2019</v>
      </c>
      <c r="E3" s="3" t="s">
        <v>24</v>
      </c>
      <c r="F3" s="2">
        <v>3822</v>
      </c>
      <c r="G3" s="4">
        <v>43767</v>
      </c>
      <c r="H3" s="4" t="s">
        <v>21</v>
      </c>
      <c r="I3" s="5">
        <v>16</v>
      </c>
      <c r="J3" s="5">
        <v>16</v>
      </c>
      <c r="K3" s="5">
        <v>4</v>
      </c>
      <c r="L3" s="5">
        <v>4</v>
      </c>
      <c r="M3" s="5">
        <v>4</v>
      </c>
      <c r="N3" s="5">
        <v>4</v>
      </c>
      <c r="O3" s="5">
        <v>4</v>
      </c>
      <c r="P3" s="5">
        <v>4</v>
      </c>
      <c r="Q3" s="5">
        <v>3</v>
      </c>
      <c r="R3" s="5">
        <v>4</v>
      </c>
      <c r="S3" s="6">
        <v>43777</v>
      </c>
      <c r="T3" s="5">
        <f t="shared" si="0"/>
        <v>28</v>
      </c>
      <c r="U3" s="5">
        <f t="shared" si="1"/>
        <v>56</v>
      </c>
      <c r="V3" s="5">
        <f t="shared" si="2"/>
        <v>7</v>
      </c>
      <c r="W3" s="27">
        <v>7</v>
      </c>
      <c r="Y3" s="27">
        <v>56</v>
      </c>
      <c r="AB3" s="5">
        <v>16</v>
      </c>
      <c r="AC3" s="5">
        <v>16</v>
      </c>
      <c r="AD3" s="5">
        <v>4</v>
      </c>
      <c r="AE3" s="5">
        <v>4</v>
      </c>
      <c r="AF3" s="5">
        <v>4</v>
      </c>
    </row>
    <row r="4" spans="1:34" ht="12.75" x14ac:dyDescent="0.2">
      <c r="A4" s="5">
        <v>3</v>
      </c>
      <c r="B4" s="2" t="s">
        <v>8</v>
      </c>
      <c r="C4" s="2" t="s">
        <v>9</v>
      </c>
      <c r="D4" s="2">
        <v>2019</v>
      </c>
      <c r="E4" s="2" t="s">
        <v>25</v>
      </c>
      <c r="F4" s="2">
        <v>5804</v>
      </c>
      <c r="G4" s="4">
        <v>43798</v>
      </c>
      <c r="H4" s="4" t="s">
        <v>21</v>
      </c>
      <c r="I4" s="5">
        <v>4</v>
      </c>
      <c r="J4" s="5">
        <v>20</v>
      </c>
      <c r="K4" s="5">
        <v>16</v>
      </c>
      <c r="L4" s="5">
        <v>8</v>
      </c>
      <c r="M4" s="5">
        <v>16</v>
      </c>
      <c r="N4" s="5">
        <v>8</v>
      </c>
      <c r="O4" s="5">
        <v>12</v>
      </c>
      <c r="P4" s="5">
        <v>4</v>
      </c>
      <c r="Q4" s="5">
        <v>4</v>
      </c>
      <c r="R4" s="5">
        <v>8</v>
      </c>
      <c r="S4" s="6">
        <v>43813</v>
      </c>
      <c r="T4" s="5">
        <f t="shared" si="0"/>
        <v>60</v>
      </c>
      <c r="U4" s="5">
        <f t="shared" si="1"/>
        <v>88</v>
      </c>
      <c r="V4" s="5">
        <f t="shared" si="2"/>
        <v>12</v>
      </c>
      <c r="W4" s="27">
        <v>12</v>
      </c>
      <c r="Y4" s="27">
        <v>88</v>
      </c>
      <c r="AB4" s="5">
        <v>4</v>
      </c>
      <c r="AC4" s="5">
        <v>20</v>
      </c>
      <c r="AD4" s="5">
        <v>16</v>
      </c>
      <c r="AE4" s="5">
        <v>8</v>
      </c>
      <c r="AF4" s="5">
        <v>16</v>
      </c>
    </row>
    <row r="5" spans="1:34" ht="12.75" x14ac:dyDescent="0.2">
      <c r="A5" s="5">
        <v>4</v>
      </c>
      <c r="B5" s="2" t="s">
        <v>7</v>
      </c>
      <c r="C5" s="2" t="s">
        <v>9</v>
      </c>
      <c r="D5" s="2">
        <v>2019</v>
      </c>
      <c r="E5" s="3" t="s">
        <v>24</v>
      </c>
      <c r="F5" s="2">
        <v>3742</v>
      </c>
      <c r="G5" s="4">
        <v>43826</v>
      </c>
      <c r="H5" s="4" t="s">
        <v>21</v>
      </c>
      <c r="I5" s="5">
        <v>8</v>
      </c>
      <c r="J5" s="5">
        <v>16</v>
      </c>
      <c r="K5" s="5">
        <v>8</v>
      </c>
      <c r="L5" s="5">
        <v>8</v>
      </c>
      <c r="M5" s="5">
        <v>16</v>
      </c>
      <c r="N5" s="5">
        <v>8</v>
      </c>
      <c r="O5" s="5">
        <v>4</v>
      </c>
      <c r="P5" s="5">
        <v>4</v>
      </c>
      <c r="Q5" s="5">
        <v>3</v>
      </c>
      <c r="R5" s="5">
        <v>12</v>
      </c>
      <c r="S5" s="6">
        <v>43476</v>
      </c>
      <c r="T5" s="5">
        <f t="shared" si="0"/>
        <v>48</v>
      </c>
      <c r="U5" s="5">
        <f t="shared" si="1"/>
        <v>72</v>
      </c>
      <c r="V5" s="5">
        <f t="shared" si="2"/>
        <v>15</v>
      </c>
      <c r="W5" s="27">
        <v>15</v>
      </c>
      <c r="Y5" s="27">
        <v>72</v>
      </c>
      <c r="AB5" s="5">
        <v>8</v>
      </c>
      <c r="AC5" s="5">
        <v>16</v>
      </c>
      <c r="AD5" s="5">
        <v>8</v>
      </c>
      <c r="AE5" s="5">
        <v>8</v>
      </c>
      <c r="AF5" s="5">
        <v>16</v>
      </c>
    </row>
    <row r="6" spans="1:34" ht="12.75" x14ac:dyDescent="0.2">
      <c r="A6" s="5">
        <v>5</v>
      </c>
      <c r="B6" s="2" t="s">
        <v>12</v>
      </c>
      <c r="C6" s="2" t="s">
        <v>11</v>
      </c>
      <c r="D6" s="2">
        <v>2019</v>
      </c>
      <c r="E6" s="2" t="s">
        <v>25</v>
      </c>
      <c r="F6" s="2">
        <v>5975</v>
      </c>
      <c r="G6" s="4">
        <v>43472</v>
      </c>
      <c r="H6" s="4" t="s">
        <v>21</v>
      </c>
      <c r="I6" s="5">
        <v>16</v>
      </c>
      <c r="J6" s="5">
        <v>32</v>
      </c>
      <c r="K6" s="5">
        <v>4</v>
      </c>
      <c r="L6" s="5">
        <v>8</v>
      </c>
      <c r="M6" s="5">
        <v>8</v>
      </c>
      <c r="N6" s="5">
        <v>4</v>
      </c>
      <c r="O6" s="5">
        <v>4</v>
      </c>
      <c r="P6" s="5">
        <v>4</v>
      </c>
      <c r="Q6" s="5">
        <v>5</v>
      </c>
      <c r="R6" s="5">
        <v>0</v>
      </c>
      <c r="S6" s="6">
        <v>43486</v>
      </c>
      <c r="T6" s="5">
        <f t="shared" si="0"/>
        <v>52</v>
      </c>
      <c r="U6" s="5">
        <f t="shared" si="1"/>
        <v>80</v>
      </c>
      <c r="V6" s="5">
        <f t="shared" si="2"/>
        <v>5</v>
      </c>
      <c r="W6" s="27">
        <v>5</v>
      </c>
      <c r="Y6" s="27">
        <v>80</v>
      </c>
      <c r="AB6" s="5">
        <v>16</v>
      </c>
      <c r="AC6" s="5">
        <v>32</v>
      </c>
      <c r="AD6" s="5">
        <v>4</v>
      </c>
      <c r="AE6" s="5">
        <v>8</v>
      </c>
      <c r="AF6" s="5">
        <v>8</v>
      </c>
    </row>
    <row r="7" spans="1:34" ht="12.75" x14ac:dyDescent="0.2">
      <c r="A7" s="5">
        <v>6</v>
      </c>
      <c r="B7" s="2" t="s">
        <v>6</v>
      </c>
      <c r="C7" s="2" t="s">
        <v>11</v>
      </c>
      <c r="D7" s="2">
        <v>2019</v>
      </c>
      <c r="E7" s="3" t="s">
        <v>24</v>
      </c>
      <c r="F7" s="2">
        <v>3736</v>
      </c>
      <c r="G7" s="4">
        <v>43483</v>
      </c>
      <c r="H7" s="4" t="s">
        <v>21</v>
      </c>
      <c r="I7" s="5">
        <v>24</v>
      </c>
      <c r="J7" s="5">
        <v>16</v>
      </c>
      <c r="K7" s="5">
        <v>8</v>
      </c>
      <c r="L7" s="5">
        <v>4</v>
      </c>
      <c r="M7" s="5">
        <v>4</v>
      </c>
      <c r="N7" s="5">
        <v>8</v>
      </c>
      <c r="O7" s="5">
        <v>4</v>
      </c>
      <c r="P7" s="5">
        <v>4</v>
      </c>
      <c r="Q7" s="5">
        <v>8</v>
      </c>
      <c r="R7" s="5">
        <v>4</v>
      </c>
      <c r="S7" s="6">
        <v>43496</v>
      </c>
      <c r="T7" s="5">
        <f t="shared" si="0"/>
        <v>32</v>
      </c>
      <c r="U7" s="5">
        <f t="shared" si="1"/>
        <v>72</v>
      </c>
      <c r="V7" s="5">
        <f t="shared" si="2"/>
        <v>12</v>
      </c>
      <c r="W7" s="27">
        <v>12</v>
      </c>
      <c r="Y7" s="27">
        <v>72</v>
      </c>
      <c r="AB7" s="5">
        <v>24</v>
      </c>
      <c r="AC7" s="5">
        <v>16</v>
      </c>
      <c r="AD7" s="5">
        <v>8</v>
      </c>
      <c r="AE7" s="5">
        <v>4</v>
      </c>
      <c r="AF7" s="5">
        <v>4</v>
      </c>
    </row>
    <row r="8" spans="1:34" ht="12.75" x14ac:dyDescent="0.2">
      <c r="A8" s="5">
        <v>7</v>
      </c>
      <c r="B8" s="2" t="s">
        <v>5</v>
      </c>
      <c r="C8" s="3" t="s">
        <v>10</v>
      </c>
      <c r="D8" s="2">
        <v>2019</v>
      </c>
      <c r="E8" s="2" t="s">
        <v>25</v>
      </c>
      <c r="F8" s="2">
        <v>5906</v>
      </c>
      <c r="G8" s="4">
        <v>43481</v>
      </c>
      <c r="H8" s="4" t="s">
        <v>20</v>
      </c>
      <c r="I8" s="5">
        <v>24</v>
      </c>
      <c r="J8" s="5">
        <v>16</v>
      </c>
      <c r="K8" s="5">
        <v>8</v>
      </c>
      <c r="L8" s="5">
        <v>8</v>
      </c>
      <c r="M8" s="5">
        <v>16</v>
      </c>
      <c r="N8" s="5">
        <v>8</v>
      </c>
      <c r="O8" s="5">
        <v>20</v>
      </c>
      <c r="P8" s="5">
        <v>4</v>
      </c>
      <c r="Q8" s="5">
        <v>7</v>
      </c>
      <c r="R8" s="5">
        <v>5</v>
      </c>
      <c r="S8" s="6">
        <v>43500</v>
      </c>
      <c r="T8" s="5">
        <f t="shared" si="0"/>
        <v>48</v>
      </c>
      <c r="U8" s="5">
        <f t="shared" si="1"/>
        <v>104</v>
      </c>
      <c r="V8" s="5">
        <f t="shared" si="2"/>
        <v>12</v>
      </c>
      <c r="W8" s="27">
        <v>12</v>
      </c>
      <c r="Y8" s="27">
        <v>104</v>
      </c>
      <c r="AB8" s="5">
        <v>24</v>
      </c>
      <c r="AC8" s="5">
        <v>16</v>
      </c>
      <c r="AD8" s="5">
        <v>8</v>
      </c>
      <c r="AE8" s="5">
        <v>8</v>
      </c>
      <c r="AF8" s="5">
        <v>16</v>
      </c>
    </row>
    <row r="9" spans="1:34" ht="12.75" x14ac:dyDescent="0.2">
      <c r="A9" s="5">
        <v>8</v>
      </c>
      <c r="B9" s="11" t="s">
        <v>4</v>
      </c>
      <c r="C9" s="33" t="s">
        <v>10</v>
      </c>
      <c r="D9" s="11">
        <v>2019</v>
      </c>
      <c r="E9" s="33" t="s">
        <v>24</v>
      </c>
      <c r="F9" s="11">
        <v>3736</v>
      </c>
      <c r="G9" s="12">
        <v>43489</v>
      </c>
      <c r="H9" s="12" t="s">
        <v>21</v>
      </c>
      <c r="I9" s="13">
        <v>8</v>
      </c>
      <c r="J9" s="13">
        <v>32</v>
      </c>
      <c r="K9" s="13">
        <v>8</v>
      </c>
      <c r="L9" s="13">
        <v>8</v>
      </c>
      <c r="M9" s="13">
        <v>8</v>
      </c>
      <c r="N9" s="13">
        <v>8</v>
      </c>
      <c r="O9" s="13">
        <v>12</v>
      </c>
      <c r="P9" s="13">
        <v>4</v>
      </c>
      <c r="Q9" s="13">
        <v>2</v>
      </c>
      <c r="R9" s="13">
        <v>7</v>
      </c>
      <c r="S9" s="14">
        <v>43504</v>
      </c>
      <c r="T9" s="13">
        <f t="shared" si="0"/>
        <v>56</v>
      </c>
      <c r="U9" s="13">
        <f t="shared" si="1"/>
        <v>88</v>
      </c>
      <c r="V9" s="13"/>
      <c r="W9" s="27">
        <v>9</v>
      </c>
      <c r="Y9" s="27">
        <f>SUM(Y2:Y8)</f>
        <v>544</v>
      </c>
      <c r="AB9" s="27">
        <f>SUM(AB2:AB8)</f>
        <v>100</v>
      </c>
      <c r="AC9" s="27">
        <f>SUM(AC2:AC8)</f>
        <v>124</v>
      </c>
      <c r="AD9" s="27">
        <f>SUM(AD2:AD8)</f>
        <v>64</v>
      </c>
      <c r="AE9" s="27">
        <f>SUM(AE2:AE8)</f>
        <v>48</v>
      </c>
      <c r="AF9" s="27">
        <f>SUM(AF2:AF8)</f>
        <v>80</v>
      </c>
      <c r="AG9" s="27">
        <f>SUM(AB9:AF9)</f>
        <v>416</v>
      </c>
      <c r="AH9" s="27">
        <f>AG9/Y9</f>
        <v>0.76470588235294112</v>
      </c>
    </row>
    <row r="10" spans="1:34" ht="12.75" x14ac:dyDescent="0.2">
      <c r="A10" s="5">
        <v>9</v>
      </c>
      <c r="B10" s="11" t="s">
        <v>30</v>
      </c>
      <c r="C10" s="11" t="s">
        <v>28</v>
      </c>
      <c r="D10" s="11">
        <v>2019</v>
      </c>
      <c r="E10" s="11" t="s">
        <v>25</v>
      </c>
      <c r="F10" s="11">
        <v>5851</v>
      </c>
      <c r="G10" s="12">
        <v>43517</v>
      </c>
      <c r="H10" s="12" t="s">
        <v>21</v>
      </c>
      <c r="I10" s="13">
        <v>24</v>
      </c>
      <c r="J10" s="13">
        <v>16</v>
      </c>
      <c r="K10" s="13">
        <v>8</v>
      </c>
      <c r="L10" s="13">
        <v>16</v>
      </c>
      <c r="M10" s="13">
        <v>16</v>
      </c>
      <c r="N10" s="13">
        <v>8</v>
      </c>
      <c r="O10" s="13">
        <v>12</v>
      </c>
      <c r="P10" s="13">
        <v>4</v>
      </c>
      <c r="Q10" s="13">
        <v>2</v>
      </c>
      <c r="R10" s="13">
        <v>3</v>
      </c>
      <c r="S10" s="14">
        <v>43532</v>
      </c>
      <c r="T10" s="13">
        <f t="shared" si="0"/>
        <v>56</v>
      </c>
      <c r="U10" s="13">
        <f t="shared" si="1"/>
        <v>104</v>
      </c>
      <c r="V10" s="13"/>
      <c r="W10" s="27">
        <v>5</v>
      </c>
    </row>
    <row r="11" spans="1:34" x14ac:dyDescent="0.2">
      <c r="A11" s="28"/>
      <c r="B11" s="28"/>
      <c r="C11" s="28"/>
      <c r="D11" s="28"/>
      <c r="E11" s="28"/>
      <c r="F11" s="35"/>
      <c r="G11" s="35"/>
    </row>
    <row r="12" spans="1:34" x14ac:dyDescent="0.2">
      <c r="A12" s="28"/>
      <c r="B12" s="28"/>
      <c r="C12" s="28"/>
      <c r="D12" s="28"/>
      <c r="E12" s="28"/>
      <c r="F12" s="28"/>
      <c r="G12" s="28"/>
    </row>
    <row r="13" spans="1:34" x14ac:dyDescent="0.2">
      <c r="A13" s="28"/>
      <c r="B13" s="28"/>
      <c r="C13" s="28"/>
      <c r="D13" s="28"/>
      <c r="E13" s="28"/>
      <c r="F13" s="28"/>
      <c r="G13" s="28"/>
      <c r="O13" s="34"/>
      <c r="P13" s="34"/>
      <c r="Q13" s="34"/>
      <c r="R13" s="34"/>
      <c r="S13" s="34"/>
    </row>
    <row r="14" spans="1:34" ht="12.75" thickBot="1" x14ac:dyDescent="0.25"/>
    <row r="15" spans="1:34" ht="15.75" thickBot="1" x14ac:dyDescent="0.3">
      <c r="A15" s="27" t="s">
        <v>88</v>
      </c>
      <c r="D15" s="37" t="s">
        <v>89</v>
      </c>
      <c r="E15" s="37"/>
      <c r="Y15" s="10" t="s">
        <v>131</v>
      </c>
      <c r="Z15" s="10"/>
    </row>
    <row r="16" spans="1:34" ht="15" x14ac:dyDescent="0.25">
      <c r="A16" s="74" t="s">
        <v>22</v>
      </c>
      <c r="B16" s="75"/>
      <c r="C16" s="28"/>
      <c r="D16" s="38" t="s">
        <v>22</v>
      </c>
      <c r="E16" s="38"/>
      <c r="F16" s="28"/>
      <c r="G16" s="28"/>
      <c r="Y16"/>
      <c r="Z16"/>
    </row>
    <row r="17" spans="1:26" ht="15" x14ac:dyDescent="0.25">
      <c r="A17" s="76"/>
      <c r="B17" s="77"/>
      <c r="D17" s="37"/>
      <c r="E17" s="37"/>
      <c r="Y17" t="s">
        <v>31</v>
      </c>
      <c r="Z17">
        <v>77.714285714285708</v>
      </c>
    </row>
    <row r="18" spans="1:26" ht="15" x14ac:dyDescent="0.25">
      <c r="A18" s="76" t="s">
        <v>31</v>
      </c>
      <c r="B18" s="77">
        <v>10.142857142857142</v>
      </c>
      <c r="D18" s="37" t="s">
        <v>31</v>
      </c>
      <c r="E18" s="39">
        <v>9.4444444444444446</v>
      </c>
      <c r="F18" s="27">
        <f>E18-B18</f>
        <v>-0.69841269841269771</v>
      </c>
      <c r="Y18" t="s">
        <v>32</v>
      </c>
      <c r="Z18">
        <v>5.7142857142857162</v>
      </c>
    </row>
    <row r="19" spans="1:26" ht="15" x14ac:dyDescent="0.25">
      <c r="A19" s="76" t="s">
        <v>32</v>
      </c>
      <c r="B19" s="77">
        <v>1.3350329303691608</v>
      </c>
      <c r="D19" s="37" t="s">
        <v>32</v>
      </c>
      <c r="E19" s="37">
        <v>1.1679886689793684</v>
      </c>
      <c r="Y19" t="s">
        <v>33</v>
      </c>
      <c r="Z19">
        <v>72</v>
      </c>
    </row>
    <row r="20" spans="1:26" ht="15" x14ac:dyDescent="0.25">
      <c r="A20" s="76" t="s">
        <v>33</v>
      </c>
      <c r="B20" s="77">
        <v>12</v>
      </c>
      <c r="D20" s="37" t="s">
        <v>33</v>
      </c>
      <c r="E20" s="37">
        <v>9</v>
      </c>
      <c r="Y20" t="s">
        <v>34</v>
      </c>
      <c r="Z20">
        <v>72</v>
      </c>
    </row>
    <row r="21" spans="1:26" ht="15" x14ac:dyDescent="0.25">
      <c r="A21" s="76" t="s">
        <v>34</v>
      </c>
      <c r="B21" s="77">
        <v>12</v>
      </c>
      <c r="D21" s="37" t="s">
        <v>34</v>
      </c>
      <c r="E21" s="37">
        <v>12</v>
      </c>
      <c r="Y21" t="s">
        <v>35</v>
      </c>
      <c r="Z21">
        <v>15.118578920369096</v>
      </c>
    </row>
    <row r="22" spans="1:26" ht="15" x14ac:dyDescent="0.25">
      <c r="A22" s="76" t="s">
        <v>35</v>
      </c>
      <c r="B22" s="77">
        <v>3.5321651258386098</v>
      </c>
      <c r="D22" s="37" t="s">
        <v>35</v>
      </c>
      <c r="E22" s="37">
        <v>3.5039660069381053</v>
      </c>
      <c r="Y22" t="s">
        <v>36</v>
      </c>
      <c r="Z22">
        <v>228.57142857142875</v>
      </c>
    </row>
    <row r="23" spans="1:26" ht="15.75" thickBot="1" x14ac:dyDescent="0.3">
      <c r="A23" s="78" t="s">
        <v>36</v>
      </c>
      <c r="B23" s="79">
        <v>12.476190476190482</v>
      </c>
      <c r="D23" s="37" t="s">
        <v>36</v>
      </c>
      <c r="E23" s="37">
        <v>12.277777777777771</v>
      </c>
      <c r="Y23" t="s">
        <v>37</v>
      </c>
      <c r="Z23">
        <v>0.97888000000000108</v>
      </c>
    </row>
    <row r="24" spans="1:26" ht="15" x14ac:dyDescent="0.25">
      <c r="A24" s="37" t="s">
        <v>37</v>
      </c>
      <c r="B24" s="37">
        <v>-1.1713303420546604</v>
      </c>
      <c r="D24" s="37" t="s">
        <v>37</v>
      </c>
      <c r="E24" s="37">
        <v>-1.19349960659516</v>
      </c>
      <c r="Y24" t="s">
        <v>38</v>
      </c>
      <c r="Z24">
        <v>0.57148228318995309</v>
      </c>
    </row>
    <row r="25" spans="1:26" ht="15" x14ac:dyDescent="0.25">
      <c r="A25" s="37" t="s">
        <v>38</v>
      </c>
      <c r="B25" s="37">
        <v>-0.22821890866090774</v>
      </c>
      <c r="D25" s="37" t="s">
        <v>38</v>
      </c>
      <c r="E25" s="37">
        <v>0.10552268441746766</v>
      </c>
      <c r="Y25" t="s">
        <v>39</v>
      </c>
      <c r="Z25">
        <v>48</v>
      </c>
    </row>
    <row r="26" spans="1:26" ht="15" x14ac:dyDescent="0.25">
      <c r="A26" s="37" t="s">
        <v>39</v>
      </c>
      <c r="B26" s="37">
        <v>10</v>
      </c>
      <c r="D26" s="37" t="s">
        <v>39</v>
      </c>
      <c r="E26" s="37">
        <v>10</v>
      </c>
      <c r="Y26" t="s">
        <v>40</v>
      </c>
      <c r="Z26">
        <v>56</v>
      </c>
    </row>
    <row r="27" spans="1:26" ht="15" x14ac:dyDescent="0.25">
      <c r="A27" s="37" t="s">
        <v>40</v>
      </c>
      <c r="B27" s="37">
        <v>5</v>
      </c>
      <c r="D27" s="37" t="s">
        <v>40</v>
      </c>
      <c r="E27" s="37">
        <v>5</v>
      </c>
      <c r="Y27" t="s">
        <v>41</v>
      </c>
      <c r="Z27">
        <v>104</v>
      </c>
    </row>
    <row r="28" spans="1:26" ht="15" x14ac:dyDescent="0.25">
      <c r="A28" s="37" t="s">
        <v>41</v>
      </c>
      <c r="B28" s="37">
        <v>15</v>
      </c>
      <c r="D28" s="37" t="s">
        <v>41</v>
      </c>
      <c r="E28" s="37">
        <v>15</v>
      </c>
      <c r="Y28" t="s">
        <v>42</v>
      </c>
      <c r="Z28">
        <v>544</v>
      </c>
    </row>
    <row r="29" spans="1:26" ht="15.75" thickBot="1" x14ac:dyDescent="0.3">
      <c r="A29" s="37" t="s">
        <v>42</v>
      </c>
      <c r="B29" s="37">
        <v>71</v>
      </c>
      <c r="D29" s="37" t="s">
        <v>42</v>
      </c>
      <c r="E29" s="37">
        <v>85</v>
      </c>
      <c r="Y29" s="8" t="s">
        <v>43</v>
      </c>
      <c r="Z29" s="8">
        <v>7</v>
      </c>
    </row>
    <row r="30" spans="1:26" ht="12.75" thickBot="1" x14ac:dyDescent="0.25">
      <c r="A30" s="40" t="s">
        <v>43</v>
      </c>
      <c r="B30" s="40">
        <v>7</v>
      </c>
      <c r="D30" s="40" t="s">
        <v>43</v>
      </c>
      <c r="E30" s="40">
        <v>9</v>
      </c>
    </row>
    <row r="31" spans="1:26" x14ac:dyDescent="0.2">
      <c r="A31" s="37"/>
      <c r="B31" s="37"/>
    </row>
    <row r="32" spans="1:26" ht="12.75" thickBot="1" x14ac:dyDescent="0.25">
      <c r="A32" s="40"/>
      <c r="B32" s="40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CDCF-43F1-47A4-A36F-F663A5E4D4AF}">
  <dimension ref="A1:H12"/>
  <sheetViews>
    <sheetView workbookViewId="0">
      <selection activeCell="G3" sqref="G3"/>
    </sheetView>
  </sheetViews>
  <sheetFormatPr defaultRowHeight="15" x14ac:dyDescent="0.25"/>
  <cols>
    <col min="1" max="1" width="17.28515625" customWidth="1"/>
  </cols>
  <sheetData>
    <row r="1" spans="1:8" x14ac:dyDescent="0.25">
      <c r="A1" s="45" t="s">
        <v>109</v>
      </c>
      <c r="G1" s="20"/>
    </row>
    <row r="2" spans="1:8" x14ac:dyDescent="0.25">
      <c r="A2" s="45" t="s">
        <v>110</v>
      </c>
      <c r="G2" s="46"/>
    </row>
    <row r="3" spans="1:8" x14ac:dyDescent="0.25">
      <c r="A3" s="47" t="s">
        <v>111</v>
      </c>
      <c r="B3" s="21">
        <f>_xlfn.T.DIST.RT(0.6, 2)</f>
        <v>0.30471663352876421</v>
      </c>
      <c r="C3" s="48" t="s">
        <v>112</v>
      </c>
      <c r="E3" s="45" t="s">
        <v>113</v>
      </c>
      <c r="G3" s="49">
        <f>_xlfn.T.DIST(6,6,TRUE)</f>
        <v>0.9995177324027924</v>
      </c>
    </row>
    <row r="4" spans="1:8" x14ac:dyDescent="0.25">
      <c r="A4" t="s">
        <v>114</v>
      </c>
      <c r="B4" s="21">
        <f>_xlfn.T.DIST.2T(0.6, 2)</f>
        <v>0.60943326705752843</v>
      </c>
      <c r="C4" s="48" t="s">
        <v>115</v>
      </c>
      <c r="E4" s="45" t="s">
        <v>116</v>
      </c>
      <c r="G4" s="49"/>
    </row>
    <row r="5" spans="1:8" x14ac:dyDescent="0.25">
      <c r="C5" t="s">
        <v>117</v>
      </c>
    </row>
    <row r="6" spans="1:8" x14ac:dyDescent="0.25">
      <c r="C6" t="s">
        <v>118</v>
      </c>
      <c r="G6">
        <f>10.14-6</f>
        <v>4.1400000000000006</v>
      </c>
      <c r="H6">
        <v>4.1399999999999997</v>
      </c>
    </row>
    <row r="7" spans="1:8" x14ac:dyDescent="0.25">
      <c r="C7" s="50" t="s">
        <v>119</v>
      </c>
      <c r="G7">
        <f>SQRT(7)</f>
        <v>2.6457513110645907</v>
      </c>
      <c r="H7">
        <f>3.53/G7</f>
        <v>1.3342145897225719</v>
      </c>
    </row>
    <row r="8" spans="1:8" x14ac:dyDescent="0.25">
      <c r="H8">
        <f>H6/H7</f>
        <v>3.1029491296904834</v>
      </c>
    </row>
    <row r="11" spans="1:8" x14ac:dyDescent="0.25">
      <c r="C11" t="s">
        <v>120</v>
      </c>
    </row>
    <row r="12" spans="1:8" x14ac:dyDescent="0.25">
      <c r="C12" s="51" t="s">
        <v>121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035D-D250-419F-B462-B3839B08BC04}">
  <dimension ref="A1:T11"/>
  <sheetViews>
    <sheetView zoomScale="85" zoomScaleNormal="85" workbookViewId="0">
      <selection activeCell="T5" sqref="T5"/>
    </sheetView>
  </sheetViews>
  <sheetFormatPr defaultRowHeight="15" x14ac:dyDescent="0.25"/>
  <cols>
    <col min="15" max="15" width="11" customWidth="1"/>
  </cols>
  <sheetData>
    <row r="1" spans="1:20" ht="63.75" x14ac:dyDescent="0.25">
      <c r="A1" t="s">
        <v>93</v>
      </c>
      <c r="B1" t="s">
        <v>94</v>
      </c>
      <c r="C1" t="s">
        <v>0</v>
      </c>
      <c r="D1" t="s">
        <v>95</v>
      </c>
      <c r="E1" t="s">
        <v>96</v>
      </c>
      <c r="G1" t="s">
        <v>92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O1" s="1" t="s">
        <v>122</v>
      </c>
      <c r="P1" s="1" t="s">
        <v>123</v>
      </c>
      <c r="Q1" s="1" t="s">
        <v>124</v>
      </c>
      <c r="R1" s="1" t="s">
        <v>125</v>
      </c>
      <c r="S1" s="1" t="s">
        <v>126</v>
      </c>
    </row>
    <row r="2" spans="1:20" x14ac:dyDescent="0.25">
      <c r="A2">
        <v>16</v>
      </c>
      <c r="B2">
        <v>16</v>
      </c>
      <c r="C2">
        <v>8</v>
      </c>
      <c r="D2">
        <v>8</v>
      </c>
      <c r="E2">
        <v>8</v>
      </c>
      <c r="H2" s="5">
        <v>8</v>
      </c>
      <c r="I2" s="5">
        <v>8</v>
      </c>
      <c r="J2" s="5">
        <v>16</v>
      </c>
      <c r="K2" s="5">
        <v>8</v>
      </c>
      <c r="L2" s="5">
        <v>16</v>
      </c>
      <c r="O2" s="52">
        <v>14.666666666666666</v>
      </c>
      <c r="P2" s="52">
        <v>19.111111111111111</v>
      </c>
      <c r="Q2" s="52">
        <v>8.8888888888888893</v>
      </c>
      <c r="R2" s="52">
        <v>8</v>
      </c>
      <c r="S2" s="52">
        <v>11.555555555555555</v>
      </c>
    </row>
    <row r="3" spans="1:20" x14ac:dyDescent="0.25">
      <c r="A3">
        <v>4</v>
      </c>
      <c r="B3">
        <v>4</v>
      </c>
      <c r="C3">
        <v>4</v>
      </c>
      <c r="D3">
        <v>16</v>
      </c>
      <c r="E3">
        <v>16</v>
      </c>
      <c r="H3" s="5">
        <v>16</v>
      </c>
      <c r="I3" s="5">
        <v>16</v>
      </c>
      <c r="J3" s="5">
        <v>4</v>
      </c>
      <c r="K3" s="5">
        <v>4</v>
      </c>
      <c r="L3" s="5">
        <v>4</v>
      </c>
      <c r="O3" s="52">
        <v>14.285714285714286</v>
      </c>
      <c r="P3" s="52">
        <v>17.714285714285715</v>
      </c>
      <c r="Q3" s="52">
        <v>9.1428571428571423</v>
      </c>
      <c r="R3" s="52">
        <v>6.8571428571428568</v>
      </c>
      <c r="S3" s="52">
        <v>11.428571428571429</v>
      </c>
    </row>
    <row r="4" spans="1:20" x14ac:dyDescent="0.25">
      <c r="A4">
        <v>16</v>
      </c>
      <c r="B4">
        <v>16</v>
      </c>
      <c r="C4">
        <v>8</v>
      </c>
      <c r="D4">
        <v>20</v>
      </c>
      <c r="E4">
        <v>4</v>
      </c>
      <c r="H4" s="5">
        <v>4</v>
      </c>
      <c r="I4" s="5">
        <v>20</v>
      </c>
      <c r="J4" s="5">
        <v>16</v>
      </c>
      <c r="K4" s="5">
        <v>8</v>
      </c>
      <c r="L4" s="5">
        <v>16</v>
      </c>
      <c r="O4" t="s">
        <v>140</v>
      </c>
      <c r="P4" t="s">
        <v>133</v>
      </c>
      <c r="Q4" t="s">
        <v>92</v>
      </c>
      <c r="R4" t="s">
        <v>178</v>
      </c>
    </row>
    <row r="5" spans="1:20" ht="25.5" x14ac:dyDescent="0.25">
      <c r="A5">
        <v>16</v>
      </c>
      <c r="B5">
        <v>8</v>
      </c>
      <c r="C5">
        <v>8</v>
      </c>
      <c r="D5">
        <v>16</v>
      </c>
      <c r="E5">
        <v>8</v>
      </c>
      <c r="H5" s="5">
        <v>8</v>
      </c>
      <c r="I5" s="5">
        <v>16</v>
      </c>
      <c r="J5" s="5">
        <v>8</v>
      </c>
      <c r="K5" s="5">
        <v>8</v>
      </c>
      <c r="L5" s="5">
        <v>16</v>
      </c>
      <c r="O5" s="53" t="s">
        <v>137</v>
      </c>
      <c r="P5" s="19">
        <v>15</v>
      </c>
      <c r="Q5" s="19">
        <v>14</v>
      </c>
      <c r="R5" s="19">
        <f>P5-Q5</f>
        <v>1</v>
      </c>
      <c r="T5">
        <f>P5/8</f>
        <v>1.875</v>
      </c>
    </row>
    <row r="6" spans="1:20" ht="38.25" x14ac:dyDescent="0.25">
      <c r="A6">
        <v>8</v>
      </c>
      <c r="B6">
        <v>4</v>
      </c>
      <c r="C6">
        <v>8</v>
      </c>
      <c r="D6">
        <v>32</v>
      </c>
      <c r="E6">
        <v>16</v>
      </c>
      <c r="H6" s="5">
        <v>16</v>
      </c>
      <c r="I6" s="5">
        <v>32</v>
      </c>
      <c r="J6" s="5">
        <v>4</v>
      </c>
      <c r="K6" s="5">
        <v>8</v>
      </c>
      <c r="L6" s="5">
        <v>8</v>
      </c>
      <c r="O6" s="53" t="s">
        <v>138</v>
      </c>
      <c r="P6" s="19">
        <v>19</v>
      </c>
      <c r="Q6" s="19">
        <v>18</v>
      </c>
      <c r="R6" s="19">
        <f t="shared" ref="R6:R7" si="0">P6-Q6</f>
        <v>1</v>
      </c>
      <c r="T6">
        <f t="shared" ref="T6:T7" si="1">P6/8</f>
        <v>2.375</v>
      </c>
    </row>
    <row r="7" spans="1:20" ht="25.5" x14ac:dyDescent="0.25">
      <c r="A7">
        <v>4</v>
      </c>
      <c r="B7">
        <v>8</v>
      </c>
      <c r="C7">
        <v>4</v>
      </c>
      <c r="D7">
        <v>16</v>
      </c>
      <c r="E7">
        <v>24</v>
      </c>
      <c r="H7" s="5">
        <v>24</v>
      </c>
      <c r="I7" s="5">
        <v>16</v>
      </c>
      <c r="J7" s="5">
        <v>8</v>
      </c>
      <c r="K7" s="5">
        <v>4</v>
      </c>
      <c r="L7" s="5">
        <v>4</v>
      </c>
      <c r="O7" s="53" t="s">
        <v>139</v>
      </c>
      <c r="P7" s="19">
        <v>8</v>
      </c>
      <c r="Q7" s="19">
        <v>7</v>
      </c>
      <c r="R7" s="19">
        <f t="shared" si="0"/>
        <v>1</v>
      </c>
      <c r="T7">
        <f t="shared" si="1"/>
        <v>1</v>
      </c>
    </row>
    <row r="8" spans="1:20" ht="38.25" x14ac:dyDescent="0.25">
      <c r="A8">
        <v>16</v>
      </c>
      <c r="B8">
        <v>8</v>
      </c>
      <c r="C8">
        <v>8</v>
      </c>
      <c r="D8">
        <v>16</v>
      </c>
      <c r="E8">
        <v>24</v>
      </c>
      <c r="H8" s="5">
        <v>24</v>
      </c>
      <c r="I8" s="5">
        <v>16</v>
      </c>
      <c r="J8" s="5">
        <v>8</v>
      </c>
      <c r="K8" s="5">
        <v>8</v>
      </c>
      <c r="L8" s="5">
        <v>16</v>
      </c>
      <c r="O8" s="1" t="s">
        <v>124</v>
      </c>
      <c r="P8">
        <v>9</v>
      </c>
      <c r="Q8">
        <v>9</v>
      </c>
      <c r="R8">
        <f t="shared" ref="R8" si="2">P8-Q8</f>
        <v>0</v>
      </c>
    </row>
    <row r="9" spans="1:20" x14ac:dyDescent="0.25">
      <c r="A9">
        <f>SUM(A2:A8)</f>
        <v>80</v>
      </c>
      <c r="B9">
        <f>SUM(B2:B8)</f>
        <v>64</v>
      </c>
      <c r="C9">
        <f>SUM(C2:C8)</f>
        <v>48</v>
      </c>
      <c r="D9">
        <f>SUM(D2:D8)</f>
        <v>124</v>
      </c>
      <c r="E9">
        <f>SUM(E2:E8)</f>
        <v>100</v>
      </c>
      <c r="H9" s="13">
        <v>8</v>
      </c>
      <c r="I9" s="13">
        <v>32</v>
      </c>
      <c r="J9" s="13">
        <v>8</v>
      </c>
      <c r="K9" s="13">
        <v>8</v>
      </c>
      <c r="L9" s="13">
        <v>8</v>
      </c>
      <c r="O9" s="1" t="s">
        <v>93</v>
      </c>
      <c r="P9">
        <v>12</v>
      </c>
      <c r="Q9">
        <v>11</v>
      </c>
      <c r="R9">
        <f t="shared" ref="R9" si="3">P9-Q9</f>
        <v>1</v>
      </c>
    </row>
    <row r="10" spans="1:20" x14ac:dyDescent="0.25">
      <c r="A10" s="13"/>
      <c r="B10" s="13"/>
      <c r="C10" s="13"/>
      <c r="D10" s="13"/>
      <c r="H10" s="13">
        <v>24</v>
      </c>
      <c r="I10" s="13">
        <v>16</v>
      </c>
      <c r="J10" s="13">
        <v>8</v>
      </c>
      <c r="K10" s="13">
        <v>16</v>
      </c>
      <c r="L10" s="13">
        <v>16</v>
      </c>
      <c r="O10" s="1"/>
    </row>
    <row r="11" spans="1:20" x14ac:dyDescent="0.25">
      <c r="A11" s="13"/>
      <c r="B11" s="13"/>
      <c r="C11" s="13"/>
      <c r="D11" s="13"/>
      <c r="H11">
        <f>AVERAGE(H2:H10)</f>
        <v>14.666666666666666</v>
      </c>
      <c r="I11">
        <f>AVERAGE(I2:I10)</f>
        <v>19.111111111111111</v>
      </c>
      <c r="J11">
        <f>AVERAGE(J2:J10)</f>
        <v>8.8888888888888893</v>
      </c>
      <c r="K11">
        <f>AVERAGE(K2:K10)</f>
        <v>8</v>
      </c>
      <c r="L11">
        <f>AVERAGE(L2:L10)</f>
        <v>11.555555555555555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4FE1-433B-41C6-A3A7-43166A3E3A2A}">
  <dimension ref="B3:C3"/>
  <sheetViews>
    <sheetView workbookViewId="0">
      <selection activeCell="C7" sqref="C7"/>
    </sheetView>
  </sheetViews>
  <sheetFormatPr defaultRowHeight="15" x14ac:dyDescent="0.25"/>
  <cols>
    <col min="3" max="3" width="28.28515625" bestFit="1" customWidth="1"/>
  </cols>
  <sheetData>
    <row r="3" spans="2:3" x14ac:dyDescent="0.25">
      <c r="B3" s="66" t="s">
        <v>176</v>
      </c>
      <c r="C3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scatterplot</vt:lpstr>
      <vt:lpstr>chisquare</vt:lpstr>
      <vt:lpstr>regression2</vt:lpstr>
      <vt:lpstr>normdist</vt:lpstr>
      <vt:lpstr>desc_statistics</vt:lpstr>
      <vt:lpstr>hypothesis</vt:lpstr>
      <vt:lpstr>stackedchart</vt:lpstr>
      <vt:lpstr>samplesize</vt:lpstr>
      <vt:lpstr>SQL</vt:lpstr>
      <vt:lpstr>correlation</vt:lpstr>
      <vt:lpstr>controlchart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Kostyrka</dc:creator>
  <cp:lastModifiedBy>C</cp:lastModifiedBy>
  <dcterms:created xsi:type="dcterms:W3CDTF">2019-01-28T19:27:03Z</dcterms:created>
  <dcterms:modified xsi:type="dcterms:W3CDTF">2020-03-19T03:04:21Z</dcterms:modified>
</cp:coreProperties>
</file>