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limana\Documents\GitHub\Electricity-analysis\FILES\BALANCE\"/>
    </mc:Choice>
  </mc:AlternateContent>
  <xr:revisionPtr revIDLastSave="0" documentId="13_ncr:1_{28D47BAA-1F27-4EEC-86FD-96F7BEA0FD18}" xr6:coauthVersionLast="47" xr6:coauthVersionMax="47" xr10:uidLastSave="{00000000-0000-0000-0000-000000000000}"/>
  <bookViews>
    <workbookView xWindow="-110" yWindow="-110" windowWidth="19420" windowHeight="10300" xr2:uid="{6F034462-F170-45F1-9CF6-4F6A972777C8}"/>
  </bookViews>
  <sheets>
    <sheet name="TJ_2019" sheetId="8" r:id="rId1"/>
    <sheet name="Sheet1" sheetId="1" r:id="rId2"/>
    <sheet name="pj" sheetId="2" r:id="rId3"/>
    <sheet name="Twh" sheetId="3" r:id="rId4"/>
    <sheet name="Sheet4" sheetId="4" r:id="rId5"/>
    <sheet name="pj (2)" sheetId="6" r:id="rId6"/>
    <sheet name="gwh (2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4" l="1"/>
  <c r="F37" i="4"/>
  <c r="F36" i="4"/>
  <c r="G38" i="4" s="1"/>
  <c r="O37" i="4"/>
  <c r="N65" i="4"/>
  <c r="N63" i="4"/>
  <c r="L29" i="8"/>
  <c r="L23" i="8"/>
  <c r="L24" i="8"/>
  <c r="L25" i="8"/>
  <c r="L27" i="8"/>
  <c r="L28" i="8"/>
  <c r="E21" i="8"/>
  <c r="G21" i="8"/>
  <c r="K21" i="8"/>
  <c r="L11" i="8"/>
  <c r="L12" i="8"/>
  <c r="L13" i="8"/>
  <c r="L15" i="8"/>
  <c r="L16" i="8"/>
  <c r="L18" i="8"/>
  <c r="L20" i="8"/>
  <c r="L10" i="8"/>
  <c r="C8" i="8"/>
  <c r="C21" i="8" s="1"/>
  <c r="D8" i="8"/>
  <c r="D21" i="8" s="1"/>
  <c r="E8" i="8"/>
  <c r="G8" i="8"/>
  <c r="H8" i="8"/>
  <c r="H21" i="8" s="1"/>
  <c r="I8" i="8"/>
  <c r="I21" i="8" s="1"/>
  <c r="J8" i="8"/>
  <c r="J21" i="8" s="1"/>
  <c r="K8" i="8"/>
  <c r="B8" i="8"/>
  <c r="B21" i="8" s="1"/>
  <c r="L3" i="8"/>
  <c r="L4" i="8"/>
  <c r="L7" i="8"/>
  <c r="A29" i="8"/>
  <c r="A28" i="8"/>
  <c r="A27" i="8"/>
  <c r="L26" i="8"/>
  <c r="A26" i="8"/>
  <c r="A25" i="8"/>
  <c r="A24" i="8"/>
  <c r="A23" i="8"/>
  <c r="L22" i="8"/>
  <c r="A22" i="8"/>
  <c r="A21" i="8"/>
  <c r="I20" i="8"/>
  <c r="A20" i="8"/>
  <c r="I19" i="8"/>
  <c r="L19" i="8" s="1"/>
  <c r="A19" i="8"/>
  <c r="A18" i="8"/>
  <c r="A17" i="8"/>
  <c r="A16" i="8"/>
  <c r="A15" i="8"/>
  <c r="A14" i="8"/>
  <c r="J13" i="8"/>
  <c r="A13" i="8"/>
  <c r="A12" i="8"/>
  <c r="F11" i="8"/>
  <c r="A11" i="8"/>
  <c r="A10" i="8"/>
  <c r="A9" i="8"/>
  <c r="A8" i="8"/>
  <c r="A7" i="8"/>
  <c r="L6" i="8"/>
  <c r="A6" i="8"/>
  <c r="A5" i="8"/>
  <c r="A4" i="8"/>
  <c r="A3" i="8"/>
  <c r="F2" i="8"/>
  <c r="L2" i="8" s="1"/>
  <c r="A2" i="8"/>
  <c r="L1" i="8"/>
  <c r="K1" i="8"/>
  <c r="J1" i="8"/>
  <c r="I1" i="8"/>
  <c r="H1" i="8"/>
  <c r="G1" i="8"/>
  <c r="F1" i="8"/>
  <c r="E1" i="8"/>
  <c r="D1" i="8"/>
  <c r="C1" i="8"/>
  <c r="B1" i="8"/>
  <c r="N64" i="4"/>
  <c r="D36" i="4"/>
  <c r="O3" i="4"/>
  <c r="O2" i="4"/>
  <c r="K37" i="4"/>
  <c r="K36" i="4"/>
  <c r="K35" i="4"/>
  <c r="K34" i="4"/>
  <c r="N47" i="4"/>
  <c r="N45" i="4"/>
  <c r="R42" i="4"/>
  <c r="R41" i="4"/>
  <c r="R40" i="4"/>
  <c r="R39" i="4"/>
  <c r="R38" i="4"/>
  <c r="R37" i="4"/>
  <c r="R33" i="4"/>
  <c r="R32" i="4"/>
  <c r="R31" i="4"/>
  <c r="R30" i="4"/>
  <c r="R29" i="4"/>
  <c r="R28" i="4"/>
  <c r="O41" i="4"/>
  <c r="O40" i="4"/>
  <c r="O39" i="4"/>
  <c r="O38" i="4"/>
  <c r="O36" i="4"/>
  <c r="O33" i="4"/>
  <c r="O32" i="4"/>
  <c r="O31" i="4"/>
  <c r="O30" i="4"/>
  <c r="O29" i="4"/>
  <c r="O28" i="4"/>
  <c r="N25" i="4"/>
  <c r="P22" i="4"/>
  <c r="R22" i="4"/>
  <c r="N22" i="4"/>
  <c r="N20" i="4"/>
  <c r="O17" i="4"/>
  <c r="O16" i="4"/>
  <c r="O15" i="4"/>
  <c r="O14" i="4"/>
  <c r="O13" i="4"/>
  <c r="T10" i="7"/>
  <c r="O44" i="7"/>
  <c r="O45" i="7"/>
  <c r="O46" i="7"/>
  <c r="O47" i="7"/>
  <c r="O43" i="7"/>
  <c r="P8" i="7"/>
  <c r="P11" i="7"/>
  <c r="P10" i="7"/>
  <c r="S30" i="7"/>
  <c r="S31" i="7"/>
  <c r="S32" i="7"/>
  <c r="S33" i="7"/>
  <c r="S29" i="7"/>
  <c r="P37" i="7"/>
  <c r="P38" i="7"/>
  <c r="P39" i="7"/>
  <c r="P40" i="7"/>
  <c r="P36" i="7"/>
  <c r="P30" i="7"/>
  <c r="P31" i="7"/>
  <c r="P32" i="7"/>
  <c r="P33" i="7"/>
  <c r="P29" i="7"/>
  <c r="P23" i="7"/>
  <c r="P24" i="7"/>
  <c r="P25" i="7"/>
  <c r="P26" i="7"/>
  <c r="P22" i="7"/>
  <c r="P16" i="7"/>
  <c r="P17" i="7"/>
  <c r="P18" i="7"/>
  <c r="P19" i="7"/>
  <c r="P15" i="7"/>
  <c r="P9" i="7"/>
  <c r="O14" i="2"/>
  <c r="R4" i="1"/>
  <c r="R5" i="1"/>
  <c r="R7" i="1"/>
  <c r="R8" i="1"/>
  <c r="R9" i="1"/>
  <c r="R11" i="1"/>
  <c r="R12" i="1"/>
  <c r="R13" i="1"/>
  <c r="R17" i="1"/>
  <c r="R19" i="1"/>
  <c r="R20" i="1"/>
  <c r="R24" i="1"/>
  <c r="R26" i="1"/>
  <c r="R3" i="1"/>
  <c r="Q4" i="1"/>
  <c r="Q5" i="1"/>
  <c r="Q7" i="1"/>
  <c r="Q8" i="1"/>
  <c r="Q9" i="1"/>
  <c r="Q11" i="1"/>
  <c r="Q12" i="1"/>
  <c r="Q13" i="1"/>
  <c r="Q17" i="1"/>
  <c r="Q19" i="1"/>
  <c r="Q20" i="1"/>
  <c r="Q24" i="1"/>
  <c r="Q26" i="1"/>
  <c r="Q3" i="1"/>
  <c r="O15" i="1"/>
  <c r="O14" i="1"/>
  <c r="O13" i="1"/>
  <c r="O26" i="1"/>
  <c r="O25" i="1"/>
  <c r="O16" i="1"/>
  <c r="O18" i="1"/>
  <c r="O10" i="1"/>
  <c r="O24" i="1"/>
  <c r="O23" i="1"/>
  <c r="O22" i="1"/>
  <c r="O21" i="1"/>
  <c r="O20" i="1"/>
  <c r="O17" i="1"/>
  <c r="O19" i="1"/>
  <c r="O12" i="1"/>
  <c r="O11" i="1"/>
  <c r="O5" i="1"/>
  <c r="O9" i="1"/>
  <c r="O8" i="1"/>
  <c r="O7" i="1"/>
  <c r="O6" i="1"/>
  <c r="O4" i="1"/>
  <c r="O3" i="1"/>
  <c r="C2" i="3"/>
  <c r="D2" i="3"/>
  <c r="E2" i="3"/>
  <c r="F2" i="3"/>
  <c r="G2" i="3"/>
  <c r="H2" i="3"/>
  <c r="I2" i="3"/>
  <c r="J2" i="3"/>
  <c r="K2" i="3"/>
  <c r="L2" i="3"/>
  <c r="M2" i="3"/>
  <c r="C3" i="3"/>
  <c r="D3" i="3"/>
  <c r="E3" i="3"/>
  <c r="F3" i="3"/>
  <c r="G3" i="3"/>
  <c r="H3" i="3"/>
  <c r="I3" i="3"/>
  <c r="J3" i="3"/>
  <c r="K3" i="3"/>
  <c r="L3" i="3"/>
  <c r="M3" i="3"/>
  <c r="C4" i="3"/>
  <c r="D4" i="3"/>
  <c r="E4" i="3"/>
  <c r="F4" i="3"/>
  <c r="G4" i="3"/>
  <c r="H4" i="3"/>
  <c r="I4" i="3"/>
  <c r="J4" i="3"/>
  <c r="K4" i="3"/>
  <c r="L4" i="3"/>
  <c r="M4" i="3"/>
  <c r="C5" i="3"/>
  <c r="D5" i="3"/>
  <c r="E5" i="3"/>
  <c r="F5" i="3"/>
  <c r="G5" i="3"/>
  <c r="H5" i="3"/>
  <c r="I5" i="3"/>
  <c r="J5" i="3"/>
  <c r="K5" i="3"/>
  <c r="L5" i="3"/>
  <c r="M5" i="3"/>
  <c r="C6" i="3"/>
  <c r="D6" i="3"/>
  <c r="E6" i="3"/>
  <c r="F6" i="3"/>
  <c r="G6" i="3"/>
  <c r="H6" i="3"/>
  <c r="I6" i="3"/>
  <c r="J6" i="3"/>
  <c r="K6" i="3"/>
  <c r="L6" i="3"/>
  <c r="M6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C21" i="3"/>
  <c r="D21" i="3"/>
  <c r="E21" i="3"/>
  <c r="F21" i="3"/>
  <c r="G21" i="3"/>
  <c r="H21" i="3"/>
  <c r="I21" i="3"/>
  <c r="J21" i="3"/>
  <c r="K21" i="3"/>
  <c r="L21" i="3"/>
  <c r="M21" i="3"/>
  <c r="C22" i="3"/>
  <c r="D22" i="3"/>
  <c r="E22" i="3"/>
  <c r="F22" i="3"/>
  <c r="G22" i="3"/>
  <c r="H22" i="3"/>
  <c r="I22" i="3"/>
  <c r="J22" i="3"/>
  <c r="K22" i="3"/>
  <c r="L22" i="3"/>
  <c r="M22" i="3"/>
  <c r="C23" i="3"/>
  <c r="D23" i="3"/>
  <c r="E23" i="3"/>
  <c r="F23" i="3"/>
  <c r="G23" i="3"/>
  <c r="H23" i="3"/>
  <c r="I23" i="3"/>
  <c r="J23" i="3"/>
  <c r="K23" i="3"/>
  <c r="L23" i="3"/>
  <c r="M23" i="3"/>
  <c r="C24" i="3"/>
  <c r="D24" i="3"/>
  <c r="E24" i="3"/>
  <c r="F24" i="3"/>
  <c r="G24" i="3"/>
  <c r="H24" i="3"/>
  <c r="I24" i="3"/>
  <c r="J24" i="3"/>
  <c r="K24" i="3"/>
  <c r="L24" i="3"/>
  <c r="M24" i="3"/>
  <c r="C25" i="3"/>
  <c r="D25" i="3"/>
  <c r="E25" i="3"/>
  <c r="F25" i="3"/>
  <c r="G25" i="3"/>
  <c r="H25" i="3"/>
  <c r="I25" i="3"/>
  <c r="J25" i="3"/>
  <c r="K25" i="3"/>
  <c r="L25" i="3"/>
  <c r="M25" i="3"/>
  <c r="C26" i="3"/>
  <c r="D26" i="3"/>
  <c r="E26" i="3"/>
  <c r="F26" i="3"/>
  <c r="G26" i="3"/>
  <c r="H26" i="3"/>
  <c r="I26" i="3"/>
  <c r="J26" i="3"/>
  <c r="K26" i="3"/>
  <c r="L26" i="3"/>
  <c r="M26" i="3"/>
  <c r="C27" i="3"/>
  <c r="D27" i="3"/>
  <c r="E27" i="3"/>
  <c r="F27" i="3"/>
  <c r="G27" i="3"/>
  <c r="H27" i="3"/>
  <c r="I27" i="3"/>
  <c r="J27" i="3"/>
  <c r="K27" i="3"/>
  <c r="L27" i="3"/>
  <c r="M27" i="3"/>
  <c r="C28" i="3"/>
  <c r="D28" i="3"/>
  <c r="E28" i="3"/>
  <c r="F28" i="3"/>
  <c r="G28" i="3"/>
  <c r="H28" i="3"/>
  <c r="I28" i="3"/>
  <c r="J28" i="3"/>
  <c r="K28" i="3"/>
  <c r="L28" i="3"/>
  <c r="M28" i="3"/>
  <c r="C29" i="3"/>
  <c r="D29" i="3"/>
  <c r="E29" i="3"/>
  <c r="F29" i="3"/>
  <c r="G29" i="3"/>
  <c r="H29" i="3"/>
  <c r="I29" i="3"/>
  <c r="J29" i="3"/>
  <c r="K29" i="3"/>
  <c r="L29" i="3"/>
  <c r="M29" i="3"/>
  <c r="C30" i="3"/>
  <c r="D30" i="3"/>
  <c r="E30" i="3"/>
  <c r="F30" i="3"/>
  <c r="G30" i="3"/>
  <c r="H30" i="3"/>
  <c r="I30" i="3"/>
  <c r="J30" i="3"/>
  <c r="K30" i="3"/>
  <c r="L30" i="3"/>
  <c r="M3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2" i="3"/>
  <c r="C2" i="7"/>
  <c r="D2" i="7"/>
  <c r="E2" i="7"/>
  <c r="F2" i="7"/>
  <c r="G2" i="7"/>
  <c r="H2" i="7"/>
  <c r="I2" i="7"/>
  <c r="J2" i="7"/>
  <c r="K2" i="7"/>
  <c r="L2" i="7"/>
  <c r="M2" i="7"/>
  <c r="C3" i="7"/>
  <c r="D3" i="7"/>
  <c r="E3" i="7"/>
  <c r="F3" i="7"/>
  <c r="G3" i="7"/>
  <c r="H3" i="7"/>
  <c r="I3" i="7"/>
  <c r="J3" i="7"/>
  <c r="K3" i="7"/>
  <c r="L3" i="7"/>
  <c r="M3" i="7"/>
  <c r="C4" i="7"/>
  <c r="D4" i="7"/>
  <c r="E4" i="7"/>
  <c r="F4" i="7"/>
  <c r="G4" i="7"/>
  <c r="H4" i="7"/>
  <c r="I4" i="7"/>
  <c r="J4" i="7"/>
  <c r="K4" i="7"/>
  <c r="L4" i="7"/>
  <c r="M4" i="7"/>
  <c r="C5" i="7"/>
  <c r="D5" i="7"/>
  <c r="E5" i="7"/>
  <c r="F5" i="7"/>
  <c r="G5" i="7"/>
  <c r="H5" i="7"/>
  <c r="I5" i="7"/>
  <c r="J5" i="7"/>
  <c r="K5" i="7"/>
  <c r="L5" i="7"/>
  <c r="M5" i="7"/>
  <c r="C6" i="7"/>
  <c r="D6" i="7"/>
  <c r="E6" i="7"/>
  <c r="F6" i="7"/>
  <c r="G6" i="7"/>
  <c r="H6" i="7"/>
  <c r="I6" i="7"/>
  <c r="J6" i="7"/>
  <c r="K6" i="7"/>
  <c r="L6" i="7"/>
  <c r="M6" i="7"/>
  <c r="C7" i="7"/>
  <c r="D7" i="7"/>
  <c r="E7" i="7"/>
  <c r="F7" i="7"/>
  <c r="G7" i="7"/>
  <c r="H7" i="7"/>
  <c r="I7" i="7"/>
  <c r="J7" i="7"/>
  <c r="K7" i="7"/>
  <c r="L7" i="7"/>
  <c r="M7" i="7"/>
  <c r="C8" i="7"/>
  <c r="D8" i="7"/>
  <c r="E8" i="7"/>
  <c r="F8" i="7"/>
  <c r="G8" i="7"/>
  <c r="H8" i="7"/>
  <c r="I8" i="7"/>
  <c r="J8" i="7"/>
  <c r="K8" i="7"/>
  <c r="L8" i="7"/>
  <c r="M8" i="7"/>
  <c r="C9" i="7"/>
  <c r="D9" i="7"/>
  <c r="E9" i="7"/>
  <c r="F9" i="7"/>
  <c r="G9" i="7"/>
  <c r="H9" i="7"/>
  <c r="I9" i="7"/>
  <c r="J9" i="7"/>
  <c r="K9" i="7"/>
  <c r="L9" i="7"/>
  <c r="M9" i="7"/>
  <c r="C10" i="7"/>
  <c r="D10" i="7"/>
  <c r="E10" i="7"/>
  <c r="F10" i="7"/>
  <c r="G10" i="7"/>
  <c r="H10" i="7"/>
  <c r="I10" i="7"/>
  <c r="J10" i="7"/>
  <c r="K10" i="7"/>
  <c r="L10" i="7"/>
  <c r="M10" i="7"/>
  <c r="C11" i="7"/>
  <c r="D11" i="7"/>
  <c r="E11" i="7"/>
  <c r="F11" i="7"/>
  <c r="G11" i="7"/>
  <c r="H11" i="7"/>
  <c r="I11" i="7"/>
  <c r="J11" i="7"/>
  <c r="K11" i="7"/>
  <c r="L11" i="7"/>
  <c r="M11" i="7"/>
  <c r="C12" i="7"/>
  <c r="D12" i="7"/>
  <c r="E12" i="7"/>
  <c r="F12" i="7"/>
  <c r="G12" i="7"/>
  <c r="H12" i="7"/>
  <c r="I12" i="7"/>
  <c r="J12" i="7"/>
  <c r="K12" i="7"/>
  <c r="L12" i="7"/>
  <c r="M12" i="7"/>
  <c r="C13" i="7"/>
  <c r="D13" i="7"/>
  <c r="E13" i="7"/>
  <c r="F13" i="7"/>
  <c r="G13" i="7"/>
  <c r="H13" i="7"/>
  <c r="I13" i="7"/>
  <c r="J13" i="7"/>
  <c r="K13" i="7"/>
  <c r="L13" i="7"/>
  <c r="M13" i="7"/>
  <c r="C14" i="7"/>
  <c r="D14" i="7"/>
  <c r="E14" i="7"/>
  <c r="F14" i="7"/>
  <c r="G14" i="7"/>
  <c r="H14" i="7"/>
  <c r="I14" i="7"/>
  <c r="J14" i="7"/>
  <c r="K14" i="7"/>
  <c r="L14" i="7"/>
  <c r="M14" i="7"/>
  <c r="C15" i="7"/>
  <c r="D15" i="7"/>
  <c r="E15" i="7"/>
  <c r="F15" i="7"/>
  <c r="G15" i="7"/>
  <c r="H15" i="7"/>
  <c r="I15" i="7"/>
  <c r="J15" i="7"/>
  <c r="K15" i="7"/>
  <c r="L15" i="7"/>
  <c r="M15" i="7"/>
  <c r="C16" i="7"/>
  <c r="D16" i="7"/>
  <c r="E16" i="7"/>
  <c r="F16" i="7"/>
  <c r="G16" i="7"/>
  <c r="H16" i="7"/>
  <c r="I16" i="7"/>
  <c r="J16" i="7"/>
  <c r="K16" i="7"/>
  <c r="L16" i="7"/>
  <c r="M16" i="7"/>
  <c r="C17" i="7"/>
  <c r="D17" i="7"/>
  <c r="E17" i="7"/>
  <c r="F17" i="7"/>
  <c r="G17" i="7"/>
  <c r="H17" i="7"/>
  <c r="I17" i="7"/>
  <c r="J17" i="7"/>
  <c r="K17" i="7"/>
  <c r="L17" i="7"/>
  <c r="M17" i="7"/>
  <c r="C18" i="7"/>
  <c r="D18" i="7"/>
  <c r="E18" i="7"/>
  <c r="F18" i="7"/>
  <c r="G18" i="7"/>
  <c r="H18" i="7"/>
  <c r="I18" i="7"/>
  <c r="J18" i="7"/>
  <c r="K18" i="7"/>
  <c r="L18" i="7"/>
  <c r="M18" i="7"/>
  <c r="C19" i="7"/>
  <c r="D19" i="7"/>
  <c r="E19" i="7"/>
  <c r="F19" i="7"/>
  <c r="G19" i="7"/>
  <c r="H19" i="7"/>
  <c r="I19" i="7"/>
  <c r="J19" i="7"/>
  <c r="K19" i="7"/>
  <c r="L19" i="7"/>
  <c r="M19" i="7"/>
  <c r="C20" i="7"/>
  <c r="D20" i="7"/>
  <c r="E20" i="7"/>
  <c r="F20" i="7"/>
  <c r="G20" i="7"/>
  <c r="H20" i="7"/>
  <c r="I20" i="7"/>
  <c r="J20" i="7"/>
  <c r="K20" i="7"/>
  <c r="L20" i="7"/>
  <c r="M20" i="7"/>
  <c r="C21" i="7"/>
  <c r="D21" i="7"/>
  <c r="E21" i="7"/>
  <c r="F21" i="7"/>
  <c r="G21" i="7"/>
  <c r="H21" i="7"/>
  <c r="I21" i="7"/>
  <c r="J21" i="7"/>
  <c r="K21" i="7"/>
  <c r="L21" i="7"/>
  <c r="M21" i="7"/>
  <c r="C22" i="7"/>
  <c r="D22" i="7"/>
  <c r="E22" i="7"/>
  <c r="F22" i="7"/>
  <c r="G22" i="7"/>
  <c r="H22" i="7"/>
  <c r="I22" i="7"/>
  <c r="J22" i="7"/>
  <c r="K22" i="7"/>
  <c r="L22" i="7"/>
  <c r="M22" i="7"/>
  <c r="C23" i="7"/>
  <c r="D23" i="7"/>
  <c r="E23" i="7"/>
  <c r="F23" i="7"/>
  <c r="G23" i="7"/>
  <c r="H23" i="7"/>
  <c r="I23" i="7"/>
  <c r="J23" i="7"/>
  <c r="K23" i="7"/>
  <c r="L23" i="7"/>
  <c r="M23" i="7"/>
  <c r="C24" i="7"/>
  <c r="D24" i="7"/>
  <c r="E24" i="7"/>
  <c r="F24" i="7"/>
  <c r="G24" i="7"/>
  <c r="H24" i="7"/>
  <c r="I24" i="7"/>
  <c r="J24" i="7"/>
  <c r="K24" i="7"/>
  <c r="L24" i="7"/>
  <c r="M24" i="7"/>
  <c r="C25" i="7"/>
  <c r="D25" i="7"/>
  <c r="E25" i="7"/>
  <c r="F25" i="7"/>
  <c r="G25" i="7"/>
  <c r="H25" i="7"/>
  <c r="I25" i="7"/>
  <c r="J25" i="7"/>
  <c r="K25" i="7"/>
  <c r="L25" i="7"/>
  <c r="M25" i="7"/>
  <c r="C26" i="7"/>
  <c r="D26" i="7"/>
  <c r="E26" i="7"/>
  <c r="F26" i="7"/>
  <c r="G26" i="7"/>
  <c r="H26" i="7"/>
  <c r="I26" i="7"/>
  <c r="J26" i="7"/>
  <c r="K26" i="7"/>
  <c r="L26" i="7"/>
  <c r="M26" i="7"/>
  <c r="C27" i="7"/>
  <c r="D27" i="7"/>
  <c r="E27" i="7"/>
  <c r="F27" i="7"/>
  <c r="G27" i="7"/>
  <c r="H27" i="7"/>
  <c r="I27" i="7"/>
  <c r="J27" i="7"/>
  <c r="K27" i="7"/>
  <c r="L27" i="7"/>
  <c r="M27" i="7"/>
  <c r="C28" i="7"/>
  <c r="D28" i="7"/>
  <c r="E28" i="7"/>
  <c r="F28" i="7"/>
  <c r="G28" i="7"/>
  <c r="H28" i="7"/>
  <c r="I28" i="7"/>
  <c r="J28" i="7"/>
  <c r="K28" i="7"/>
  <c r="L28" i="7"/>
  <c r="M28" i="7"/>
  <c r="C29" i="7"/>
  <c r="D29" i="7"/>
  <c r="E29" i="7"/>
  <c r="F29" i="7"/>
  <c r="G29" i="7"/>
  <c r="H29" i="7"/>
  <c r="I29" i="7"/>
  <c r="J29" i="7"/>
  <c r="K29" i="7"/>
  <c r="L29" i="7"/>
  <c r="M29" i="7"/>
  <c r="C30" i="7"/>
  <c r="D30" i="7"/>
  <c r="E30" i="7"/>
  <c r="F30" i="7"/>
  <c r="G30" i="7"/>
  <c r="H30" i="7"/>
  <c r="I30" i="7"/>
  <c r="J30" i="7"/>
  <c r="K30" i="7"/>
  <c r="L30" i="7"/>
  <c r="M30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2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L1" i="7"/>
  <c r="K1" i="7"/>
  <c r="J1" i="7"/>
  <c r="I1" i="7"/>
  <c r="H1" i="7"/>
  <c r="G1" i="7"/>
  <c r="F1" i="7"/>
  <c r="E1" i="7"/>
  <c r="D1" i="7"/>
  <c r="C1" i="7"/>
  <c r="B1" i="7"/>
  <c r="A1" i="7"/>
  <c r="C2" i="6"/>
  <c r="D2" i="6"/>
  <c r="E2" i="6"/>
  <c r="F2" i="6"/>
  <c r="G2" i="6"/>
  <c r="H2" i="6"/>
  <c r="I2" i="6"/>
  <c r="J2" i="6"/>
  <c r="K2" i="6"/>
  <c r="L2" i="6"/>
  <c r="C3" i="6"/>
  <c r="D3" i="6"/>
  <c r="E3" i="6"/>
  <c r="F3" i="6"/>
  <c r="G3" i="6"/>
  <c r="H3" i="6"/>
  <c r="I3" i="6"/>
  <c r="J3" i="6"/>
  <c r="K3" i="6"/>
  <c r="L3" i="6"/>
  <c r="C4" i="6"/>
  <c r="D4" i="6"/>
  <c r="E4" i="6"/>
  <c r="F4" i="6"/>
  <c r="G4" i="6"/>
  <c r="H4" i="6"/>
  <c r="I4" i="6"/>
  <c r="J4" i="6"/>
  <c r="K4" i="6"/>
  <c r="L4" i="6"/>
  <c r="C5" i="6"/>
  <c r="D5" i="6"/>
  <c r="E5" i="6"/>
  <c r="F5" i="6"/>
  <c r="G5" i="6"/>
  <c r="H5" i="6"/>
  <c r="I5" i="6"/>
  <c r="J5" i="6"/>
  <c r="K5" i="6"/>
  <c r="L5" i="6"/>
  <c r="C6" i="6"/>
  <c r="D6" i="6"/>
  <c r="E6" i="6"/>
  <c r="F6" i="6"/>
  <c r="G6" i="6"/>
  <c r="H6" i="6"/>
  <c r="I6" i="6"/>
  <c r="J6" i="6"/>
  <c r="K6" i="6"/>
  <c r="L6" i="6"/>
  <c r="C7" i="6"/>
  <c r="D7" i="6"/>
  <c r="E7" i="6"/>
  <c r="F7" i="6"/>
  <c r="G7" i="6"/>
  <c r="H7" i="6"/>
  <c r="I7" i="6"/>
  <c r="J7" i="6"/>
  <c r="K7" i="6"/>
  <c r="L7" i="6"/>
  <c r="C8" i="6"/>
  <c r="D8" i="6"/>
  <c r="E8" i="6"/>
  <c r="F8" i="6"/>
  <c r="G8" i="6"/>
  <c r="H8" i="6"/>
  <c r="I8" i="6"/>
  <c r="J8" i="6"/>
  <c r="K8" i="6"/>
  <c r="L8" i="6"/>
  <c r="C9" i="6"/>
  <c r="D9" i="6"/>
  <c r="E9" i="6"/>
  <c r="F9" i="6"/>
  <c r="G9" i="6"/>
  <c r="H9" i="6"/>
  <c r="I9" i="6"/>
  <c r="J9" i="6"/>
  <c r="K9" i="6"/>
  <c r="L9" i="6"/>
  <c r="C10" i="6"/>
  <c r="D10" i="6"/>
  <c r="E10" i="6"/>
  <c r="F10" i="6"/>
  <c r="G10" i="6"/>
  <c r="H10" i="6"/>
  <c r="I10" i="6"/>
  <c r="J10" i="6"/>
  <c r="K10" i="6"/>
  <c r="L10" i="6"/>
  <c r="C11" i="6"/>
  <c r="D11" i="6"/>
  <c r="E11" i="6"/>
  <c r="F11" i="6"/>
  <c r="G11" i="6"/>
  <c r="H11" i="6"/>
  <c r="I11" i="6"/>
  <c r="J11" i="6"/>
  <c r="K11" i="6"/>
  <c r="L11" i="6"/>
  <c r="C12" i="6"/>
  <c r="D12" i="6"/>
  <c r="E12" i="6"/>
  <c r="F12" i="6"/>
  <c r="G12" i="6"/>
  <c r="H12" i="6"/>
  <c r="I12" i="6"/>
  <c r="J12" i="6"/>
  <c r="K12" i="6"/>
  <c r="L12" i="6"/>
  <c r="C13" i="6"/>
  <c r="D13" i="6"/>
  <c r="E13" i="6"/>
  <c r="F13" i="6"/>
  <c r="G13" i="6"/>
  <c r="H13" i="6"/>
  <c r="I13" i="6"/>
  <c r="J13" i="6"/>
  <c r="K13" i="6"/>
  <c r="L13" i="6"/>
  <c r="C14" i="6"/>
  <c r="D14" i="6"/>
  <c r="E14" i="6"/>
  <c r="F14" i="6"/>
  <c r="G14" i="6"/>
  <c r="H14" i="6"/>
  <c r="I14" i="6"/>
  <c r="J14" i="6"/>
  <c r="K14" i="6"/>
  <c r="L14" i="6"/>
  <c r="C15" i="6"/>
  <c r="D15" i="6"/>
  <c r="E15" i="6"/>
  <c r="F15" i="6"/>
  <c r="G15" i="6"/>
  <c r="H15" i="6"/>
  <c r="I15" i="6"/>
  <c r="J15" i="6"/>
  <c r="K15" i="6"/>
  <c r="L15" i="6"/>
  <c r="C16" i="6"/>
  <c r="D16" i="6"/>
  <c r="E16" i="6"/>
  <c r="F16" i="6"/>
  <c r="G16" i="6"/>
  <c r="H16" i="6"/>
  <c r="I16" i="6"/>
  <c r="J16" i="6"/>
  <c r="K16" i="6"/>
  <c r="L16" i="6"/>
  <c r="C17" i="6"/>
  <c r="D17" i="6"/>
  <c r="E17" i="6"/>
  <c r="F17" i="6"/>
  <c r="G17" i="6"/>
  <c r="H17" i="6"/>
  <c r="I17" i="6"/>
  <c r="J17" i="6"/>
  <c r="K17" i="6"/>
  <c r="L17" i="6"/>
  <c r="C18" i="6"/>
  <c r="D18" i="6"/>
  <c r="E18" i="6"/>
  <c r="F18" i="6"/>
  <c r="G18" i="6"/>
  <c r="H18" i="6"/>
  <c r="I18" i="6"/>
  <c r="J18" i="6"/>
  <c r="K18" i="6"/>
  <c r="L18" i="6"/>
  <c r="C19" i="6"/>
  <c r="D19" i="6"/>
  <c r="E19" i="6"/>
  <c r="F19" i="6"/>
  <c r="G19" i="6"/>
  <c r="H19" i="6"/>
  <c r="I19" i="6"/>
  <c r="J19" i="6"/>
  <c r="K19" i="6"/>
  <c r="L19" i="6"/>
  <c r="C20" i="6"/>
  <c r="D20" i="6"/>
  <c r="E20" i="6"/>
  <c r="F20" i="6"/>
  <c r="G20" i="6"/>
  <c r="H20" i="6"/>
  <c r="I20" i="6"/>
  <c r="J20" i="6"/>
  <c r="K20" i="6"/>
  <c r="L20" i="6"/>
  <c r="C21" i="6"/>
  <c r="D21" i="6"/>
  <c r="E21" i="6"/>
  <c r="F21" i="6"/>
  <c r="G21" i="6"/>
  <c r="H21" i="6"/>
  <c r="I21" i="6"/>
  <c r="J21" i="6"/>
  <c r="K21" i="6"/>
  <c r="L21" i="6"/>
  <c r="C22" i="6"/>
  <c r="D22" i="6"/>
  <c r="E22" i="6"/>
  <c r="F22" i="6"/>
  <c r="G22" i="6"/>
  <c r="H22" i="6"/>
  <c r="I22" i="6"/>
  <c r="J22" i="6"/>
  <c r="K22" i="6"/>
  <c r="L22" i="6"/>
  <c r="C23" i="6"/>
  <c r="D23" i="6"/>
  <c r="E23" i="6"/>
  <c r="F23" i="6"/>
  <c r="G23" i="6"/>
  <c r="H23" i="6"/>
  <c r="I23" i="6"/>
  <c r="J23" i="6"/>
  <c r="K23" i="6"/>
  <c r="L23" i="6"/>
  <c r="C24" i="6"/>
  <c r="D24" i="6"/>
  <c r="E24" i="6"/>
  <c r="F24" i="6"/>
  <c r="G24" i="6"/>
  <c r="H24" i="6"/>
  <c r="I24" i="6"/>
  <c r="J24" i="6"/>
  <c r="K24" i="6"/>
  <c r="L24" i="6"/>
  <c r="C25" i="6"/>
  <c r="D25" i="6"/>
  <c r="E25" i="6"/>
  <c r="F25" i="6"/>
  <c r="G25" i="6"/>
  <c r="H25" i="6"/>
  <c r="I25" i="6"/>
  <c r="J25" i="6"/>
  <c r="K25" i="6"/>
  <c r="L25" i="6"/>
  <c r="C26" i="6"/>
  <c r="D26" i="6"/>
  <c r="E26" i="6"/>
  <c r="F26" i="6"/>
  <c r="G26" i="6"/>
  <c r="H26" i="6"/>
  <c r="I26" i="6"/>
  <c r="J26" i="6"/>
  <c r="K26" i="6"/>
  <c r="L26" i="6"/>
  <c r="C27" i="6"/>
  <c r="D27" i="6"/>
  <c r="E27" i="6"/>
  <c r="F27" i="6"/>
  <c r="G27" i="6"/>
  <c r="H27" i="6"/>
  <c r="I27" i="6"/>
  <c r="J27" i="6"/>
  <c r="K27" i="6"/>
  <c r="L27" i="6"/>
  <c r="C28" i="6"/>
  <c r="D28" i="6"/>
  <c r="E28" i="6"/>
  <c r="F28" i="6"/>
  <c r="G28" i="6"/>
  <c r="H28" i="6"/>
  <c r="I28" i="6"/>
  <c r="J28" i="6"/>
  <c r="K28" i="6"/>
  <c r="L28" i="6"/>
  <c r="C29" i="6"/>
  <c r="D29" i="6"/>
  <c r="E29" i="6"/>
  <c r="F29" i="6"/>
  <c r="G29" i="6"/>
  <c r="H29" i="6"/>
  <c r="I29" i="6"/>
  <c r="J29" i="6"/>
  <c r="K29" i="6"/>
  <c r="L29" i="6"/>
  <c r="C30" i="6"/>
  <c r="D30" i="6"/>
  <c r="E30" i="6"/>
  <c r="F30" i="6"/>
  <c r="G30" i="6"/>
  <c r="H30" i="6"/>
  <c r="I30" i="6"/>
  <c r="J30" i="6"/>
  <c r="K30" i="6"/>
  <c r="L3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2" i="6"/>
  <c r="A29" i="6"/>
  <c r="A28" i="6"/>
  <c r="A27" i="6"/>
  <c r="A26" i="6"/>
  <c r="A25" i="6"/>
  <c r="A24" i="6"/>
  <c r="A23" i="6"/>
  <c r="A22" i="6"/>
  <c r="M21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M8" i="6"/>
  <c r="A8" i="6"/>
  <c r="A7" i="6"/>
  <c r="A6" i="6"/>
  <c r="A5" i="6"/>
  <c r="A4" i="6"/>
  <c r="A3" i="6"/>
  <c r="A2" i="6"/>
  <c r="L1" i="6"/>
  <c r="K1" i="6"/>
  <c r="J1" i="6"/>
  <c r="I1" i="6"/>
  <c r="H1" i="6"/>
  <c r="G1" i="6"/>
  <c r="F1" i="6"/>
  <c r="E1" i="6"/>
  <c r="D1" i="6"/>
  <c r="C1" i="6"/>
  <c r="B1" i="6"/>
  <c r="K30" i="4"/>
  <c r="J30" i="4"/>
  <c r="I30" i="4"/>
  <c r="H30" i="4"/>
  <c r="G30" i="4"/>
  <c r="F30" i="4"/>
  <c r="E30" i="4"/>
  <c r="D30" i="4"/>
  <c r="C30" i="4"/>
  <c r="B30" i="4"/>
  <c r="L29" i="4"/>
  <c r="L28" i="4"/>
  <c r="L27" i="4"/>
  <c r="L26" i="4"/>
  <c r="L25" i="4"/>
  <c r="L24" i="4"/>
  <c r="L23" i="4"/>
  <c r="L22" i="4"/>
  <c r="L20" i="4"/>
  <c r="L19" i="4"/>
  <c r="L18" i="4"/>
  <c r="L17" i="4"/>
  <c r="L16" i="4"/>
  <c r="L15" i="4"/>
  <c r="L14" i="4"/>
  <c r="L13" i="4"/>
  <c r="L12" i="4"/>
  <c r="L11" i="4"/>
  <c r="K8" i="4"/>
  <c r="K21" i="4" s="1"/>
  <c r="J8" i="4"/>
  <c r="J21" i="4" s="1"/>
  <c r="I8" i="4"/>
  <c r="I21" i="4" s="1"/>
  <c r="H8" i="4"/>
  <c r="H21" i="4" s="1"/>
  <c r="G8" i="4"/>
  <c r="G21" i="4" s="1"/>
  <c r="F8" i="4"/>
  <c r="F21" i="4" s="1"/>
  <c r="E8" i="4"/>
  <c r="E21" i="4" s="1"/>
  <c r="D8" i="4"/>
  <c r="C8" i="4"/>
  <c r="C21" i="4" s="1"/>
  <c r="B8" i="4"/>
  <c r="B21" i="4" s="1"/>
  <c r="L7" i="4"/>
  <c r="L6" i="4"/>
  <c r="L5" i="4"/>
  <c r="L4" i="4"/>
  <c r="L3" i="4"/>
  <c r="L2" i="4"/>
  <c r="B1" i="3"/>
  <c r="C1" i="3"/>
  <c r="D1" i="3"/>
  <c r="E1" i="3"/>
  <c r="F1" i="3"/>
  <c r="G1" i="3"/>
  <c r="H1" i="3"/>
  <c r="I1" i="3"/>
  <c r="J1" i="3"/>
  <c r="K1" i="3"/>
  <c r="L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1" i="3"/>
  <c r="M8" i="2"/>
  <c r="M21" i="2"/>
  <c r="C2" i="2"/>
  <c r="D2" i="2"/>
  <c r="E2" i="2"/>
  <c r="F2" i="2"/>
  <c r="G2" i="2"/>
  <c r="H2" i="2"/>
  <c r="I2" i="2"/>
  <c r="J2" i="2"/>
  <c r="K2" i="2"/>
  <c r="L2" i="2"/>
  <c r="C3" i="2"/>
  <c r="D3" i="2"/>
  <c r="E3" i="2"/>
  <c r="F3" i="2"/>
  <c r="G3" i="2"/>
  <c r="H3" i="2"/>
  <c r="I3" i="2"/>
  <c r="J3" i="2"/>
  <c r="K3" i="2"/>
  <c r="L3" i="2"/>
  <c r="C4" i="2"/>
  <c r="D4" i="2"/>
  <c r="E4" i="2"/>
  <c r="F4" i="2"/>
  <c r="G4" i="2"/>
  <c r="H4" i="2"/>
  <c r="I4" i="2"/>
  <c r="J4" i="2"/>
  <c r="K4" i="2"/>
  <c r="L4" i="2"/>
  <c r="C5" i="2"/>
  <c r="D5" i="2"/>
  <c r="E5" i="2"/>
  <c r="F5" i="2"/>
  <c r="G5" i="2"/>
  <c r="H5" i="2"/>
  <c r="I5" i="2"/>
  <c r="J5" i="2"/>
  <c r="K5" i="2"/>
  <c r="L5" i="2"/>
  <c r="C6" i="2"/>
  <c r="D6" i="2"/>
  <c r="E6" i="2"/>
  <c r="F6" i="2"/>
  <c r="G6" i="2"/>
  <c r="H6" i="2"/>
  <c r="I6" i="2"/>
  <c r="J6" i="2"/>
  <c r="K6" i="2"/>
  <c r="L6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9" i="2"/>
  <c r="D9" i="2"/>
  <c r="E9" i="2"/>
  <c r="F9" i="2"/>
  <c r="G9" i="2"/>
  <c r="H9" i="2"/>
  <c r="I9" i="2"/>
  <c r="J9" i="2"/>
  <c r="K9" i="2"/>
  <c r="L9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L13" i="2"/>
  <c r="C14" i="2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C16" i="2"/>
  <c r="D16" i="2"/>
  <c r="E16" i="2"/>
  <c r="F16" i="2"/>
  <c r="G16" i="2"/>
  <c r="H16" i="2"/>
  <c r="I16" i="2"/>
  <c r="J16" i="2"/>
  <c r="K16" i="2"/>
  <c r="L16" i="2"/>
  <c r="C17" i="2"/>
  <c r="D17" i="2"/>
  <c r="E17" i="2"/>
  <c r="F17" i="2"/>
  <c r="G17" i="2"/>
  <c r="H17" i="2"/>
  <c r="I17" i="2"/>
  <c r="J17" i="2"/>
  <c r="K17" i="2"/>
  <c r="L17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C21" i="2"/>
  <c r="D21" i="2"/>
  <c r="E21" i="2"/>
  <c r="F21" i="2"/>
  <c r="G21" i="2"/>
  <c r="H21" i="2"/>
  <c r="I21" i="2"/>
  <c r="J21" i="2"/>
  <c r="K21" i="2"/>
  <c r="L21" i="2"/>
  <c r="C22" i="2"/>
  <c r="D22" i="2"/>
  <c r="E22" i="2"/>
  <c r="F22" i="2"/>
  <c r="G22" i="2"/>
  <c r="H22" i="2"/>
  <c r="I22" i="2"/>
  <c r="J22" i="2"/>
  <c r="K22" i="2"/>
  <c r="L22" i="2"/>
  <c r="C23" i="2"/>
  <c r="D23" i="2"/>
  <c r="E23" i="2"/>
  <c r="F23" i="2"/>
  <c r="G23" i="2"/>
  <c r="H23" i="2"/>
  <c r="I23" i="2"/>
  <c r="J23" i="2"/>
  <c r="K23" i="2"/>
  <c r="L23" i="2"/>
  <c r="C24" i="2"/>
  <c r="D24" i="2"/>
  <c r="E24" i="2"/>
  <c r="F24" i="2"/>
  <c r="G24" i="2"/>
  <c r="H24" i="2"/>
  <c r="I24" i="2"/>
  <c r="J24" i="2"/>
  <c r="K24" i="2"/>
  <c r="L24" i="2"/>
  <c r="C25" i="2"/>
  <c r="D25" i="2"/>
  <c r="E25" i="2"/>
  <c r="F25" i="2"/>
  <c r="G25" i="2"/>
  <c r="H25" i="2"/>
  <c r="I25" i="2"/>
  <c r="J25" i="2"/>
  <c r="K25" i="2"/>
  <c r="L25" i="2"/>
  <c r="C26" i="2"/>
  <c r="D26" i="2"/>
  <c r="E26" i="2"/>
  <c r="F26" i="2"/>
  <c r="G26" i="2"/>
  <c r="H26" i="2"/>
  <c r="I26" i="2"/>
  <c r="J26" i="2"/>
  <c r="K26" i="2"/>
  <c r="L26" i="2"/>
  <c r="C27" i="2"/>
  <c r="D27" i="2"/>
  <c r="E27" i="2"/>
  <c r="F27" i="2"/>
  <c r="G27" i="2"/>
  <c r="H27" i="2"/>
  <c r="I27" i="2"/>
  <c r="J27" i="2"/>
  <c r="K27" i="2"/>
  <c r="L27" i="2"/>
  <c r="C28" i="2"/>
  <c r="D28" i="2"/>
  <c r="E28" i="2"/>
  <c r="F28" i="2"/>
  <c r="G28" i="2"/>
  <c r="H28" i="2"/>
  <c r="I28" i="2"/>
  <c r="J28" i="2"/>
  <c r="K28" i="2"/>
  <c r="L28" i="2"/>
  <c r="C29" i="2"/>
  <c r="D29" i="2"/>
  <c r="E29" i="2"/>
  <c r="F29" i="2"/>
  <c r="G29" i="2"/>
  <c r="H29" i="2"/>
  <c r="I29" i="2"/>
  <c r="J29" i="2"/>
  <c r="K29" i="2"/>
  <c r="L29" i="2"/>
  <c r="C30" i="2"/>
  <c r="D30" i="2"/>
  <c r="E30" i="2"/>
  <c r="F30" i="2"/>
  <c r="G30" i="2"/>
  <c r="H30" i="2"/>
  <c r="I30" i="2"/>
  <c r="J30" i="2"/>
  <c r="K30" i="2"/>
  <c r="L3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2" i="2"/>
  <c r="B1" i="2"/>
  <c r="C1" i="2"/>
  <c r="D1" i="2"/>
  <c r="E1" i="2"/>
  <c r="F1" i="2"/>
  <c r="G1" i="2"/>
  <c r="H1" i="2"/>
  <c r="I1" i="2"/>
  <c r="J1" i="2"/>
  <c r="K1" i="2"/>
  <c r="L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D30" i="1"/>
  <c r="C30" i="1"/>
  <c r="E30" i="1"/>
  <c r="F30" i="1"/>
  <c r="G30" i="1"/>
  <c r="H30" i="1"/>
  <c r="I30" i="1"/>
  <c r="J30" i="1"/>
  <c r="K30" i="1"/>
  <c r="B30" i="1"/>
  <c r="L26" i="1"/>
  <c r="L27" i="1"/>
  <c r="L28" i="1"/>
  <c r="L29" i="1"/>
  <c r="L25" i="1"/>
  <c r="L23" i="1"/>
  <c r="L30" i="1" s="1"/>
  <c r="L24" i="1"/>
  <c r="L22" i="1"/>
  <c r="L20" i="1"/>
  <c r="L14" i="1"/>
  <c r="L15" i="1"/>
  <c r="L16" i="1"/>
  <c r="L17" i="1"/>
  <c r="L18" i="1"/>
  <c r="L19" i="1"/>
  <c r="L13" i="1"/>
  <c r="L12" i="1"/>
  <c r="C21" i="1"/>
  <c r="K21" i="1"/>
  <c r="L11" i="1"/>
  <c r="L4" i="1"/>
  <c r="L3" i="1"/>
  <c r="L2" i="1"/>
  <c r="L5" i="1"/>
  <c r="L6" i="1"/>
  <c r="L7" i="1"/>
  <c r="H8" i="1"/>
  <c r="H21" i="1" s="1"/>
  <c r="I8" i="1"/>
  <c r="I21" i="1" s="1"/>
  <c r="J8" i="1"/>
  <c r="J21" i="1" s="1"/>
  <c r="K8" i="1"/>
  <c r="C8" i="1"/>
  <c r="D8" i="1"/>
  <c r="D21" i="1" s="1"/>
  <c r="E8" i="1"/>
  <c r="E21" i="1" s="1"/>
  <c r="F8" i="1"/>
  <c r="F21" i="1" s="1"/>
  <c r="G8" i="1"/>
  <c r="G21" i="1" s="1"/>
  <c r="B8" i="1"/>
  <c r="B21" i="1" s="1"/>
  <c r="L8" i="8" l="1"/>
  <c r="F8" i="8"/>
  <c r="F21" i="8" s="1"/>
  <c r="L21" i="8"/>
  <c r="L30" i="4"/>
  <c r="L8" i="4"/>
  <c r="D21" i="4"/>
  <c r="L21" i="4" s="1"/>
  <c r="L21" i="1"/>
  <c r="M8" i="1"/>
  <c r="L8" i="1"/>
  <c r="M21" i="1" s="1"/>
</calcChain>
</file>

<file path=xl/sharedStrings.xml><?xml version="1.0" encoding="utf-8"?>
<sst xmlns="http://schemas.openxmlformats.org/spreadsheetml/2006/main" count="231" uniqueCount="119">
  <si>
    <t>Coal</t>
  </si>
  <si>
    <t>Crude oil</t>
  </si>
  <si>
    <t>Oil products</t>
  </si>
  <si>
    <t>Natural gas</t>
  </si>
  <si>
    <t>Nuclear</t>
  </si>
  <si>
    <t>Hidro</t>
  </si>
  <si>
    <t>Wind, solar,etc</t>
  </si>
  <si>
    <t>Biofuels and waste</t>
  </si>
  <si>
    <t>Electricity</t>
  </si>
  <si>
    <t>Heat</t>
  </si>
  <si>
    <t>Total</t>
  </si>
  <si>
    <t>Production</t>
  </si>
  <si>
    <t>Imports</t>
  </si>
  <si>
    <t>Exports</t>
  </si>
  <si>
    <t>International marine bunkers</t>
  </si>
  <si>
    <t>International aviation bunkers</t>
  </si>
  <si>
    <t>Stock changes</t>
  </si>
  <si>
    <t>TES</t>
  </si>
  <si>
    <t>Transfers</t>
  </si>
  <si>
    <t>Statistical differences</t>
  </si>
  <si>
    <t>Electricity plants</t>
  </si>
  <si>
    <t>CHP plants</t>
  </si>
  <si>
    <t>Oil refineries</t>
  </si>
  <si>
    <t>Coal transformation</t>
  </si>
  <si>
    <t>Liquefication plants</t>
  </si>
  <si>
    <t>Other transformation</t>
  </si>
  <si>
    <t>Energy industry own use</t>
  </si>
  <si>
    <t>Losses</t>
  </si>
  <si>
    <t>Total final consumption</t>
  </si>
  <si>
    <t>Heat plants</t>
  </si>
  <si>
    <t>Gas works</t>
  </si>
  <si>
    <t>Industry</t>
  </si>
  <si>
    <t>Transport</t>
  </si>
  <si>
    <t>Residential</t>
  </si>
  <si>
    <t>Commercial and public services</t>
  </si>
  <si>
    <t>Agriculture/forestry</t>
  </si>
  <si>
    <t>Fishing</t>
  </si>
  <si>
    <t>Non-specified</t>
  </si>
  <si>
    <t>Non-energy use</t>
  </si>
  <si>
    <t>Oil consumption</t>
  </si>
  <si>
    <t>ktoe</t>
  </si>
  <si>
    <t>Rafinery production</t>
  </si>
  <si>
    <t>Oil net import</t>
  </si>
  <si>
    <t>Share of oil in transportation</t>
  </si>
  <si>
    <t>Coal production</t>
  </si>
  <si>
    <t>Coal consumption</t>
  </si>
  <si>
    <t>Coal net import</t>
  </si>
  <si>
    <t>Share of coal in electricity</t>
  </si>
  <si>
    <t xml:space="preserve">Natural gas net import </t>
  </si>
  <si>
    <t>Natural gas consumption (Mtoe)</t>
  </si>
  <si>
    <t>Ren production</t>
  </si>
  <si>
    <t>Share of RE in TES</t>
  </si>
  <si>
    <t>Solid fuels in RE</t>
  </si>
  <si>
    <t>El generation</t>
  </si>
  <si>
    <t>Share of fossil in el.</t>
  </si>
  <si>
    <t>Total en supply</t>
  </si>
  <si>
    <t>Total final en consumption</t>
  </si>
  <si>
    <t>Share of industry in TFC</t>
  </si>
  <si>
    <t>Share of resid</t>
  </si>
  <si>
    <t>Share of trans</t>
  </si>
  <si>
    <t>En production</t>
  </si>
  <si>
    <t>Share of RE in el</t>
  </si>
  <si>
    <t>Share of RE en prod</t>
  </si>
  <si>
    <t>Energy production</t>
  </si>
  <si>
    <t>TWH</t>
  </si>
  <si>
    <t>PJ</t>
  </si>
  <si>
    <t>Average el.conversion eff</t>
  </si>
  <si>
    <t xml:space="preserve">POTROŠNJA FIN ENERGIJE PO SEKTORIMA </t>
  </si>
  <si>
    <t>Oil products:</t>
  </si>
  <si>
    <t>Prirodni gas</t>
  </si>
  <si>
    <t>Biofuels, waste</t>
  </si>
  <si>
    <t>Toplota</t>
  </si>
  <si>
    <t>Efikasnost CHP EL</t>
  </si>
  <si>
    <t>Efikasnost CHP term</t>
  </si>
  <si>
    <t>efikasnost CHP TOTAL</t>
  </si>
  <si>
    <t>Efikasnost heat plants</t>
  </si>
  <si>
    <t>Ugalj</t>
  </si>
  <si>
    <t>Rezerve</t>
  </si>
  <si>
    <t>Međunarodni avionski saobraćaj</t>
  </si>
  <si>
    <t>Za indikator, TES  I PER KAPITA</t>
  </si>
  <si>
    <t>Mala statistička razlika - konverzija jedinica, velika - podaci trebaju biti provjereni</t>
  </si>
  <si>
    <t>Udio goriva u elektranama</t>
  </si>
  <si>
    <t>Naftni derivati</t>
  </si>
  <si>
    <t>Wind/solar</t>
  </si>
  <si>
    <t>Prosječna Efikasnost konverzije u elektranama</t>
  </si>
  <si>
    <t>El. Efikasnost CHP</t>
  </si>
  <si>
    <t>Term.efikasnost CHP</t>
  </si>
  <si>
    <t>Ukupna efikasnost</t>
  </si>
  <si>
    <t>Prosječna efikasnost toplana</t>
  </si>
  <si>
    <t>Industrija korištenje</t>
  </si>
  <si>
    <t>Biogoriva</t>
  </si>
  <si>
    <t xml:space="preserve">el. </t>
  </si>
  <si>
    <t>toplota</t>
  </si>
  <si>
    <t>Saobraćaj korištenje</t>
  </si>
  <si>
    <t>Domaćinstva korištenje</t>
  </si>
  <si>
    <t>Uslužne djelatnosti</t>
  </si>
  <si>
    <t>Gubici el</t>
  </si>
  <si>
    <t>Gubici toplote</t>
  </si>
  <si>
    <t>%</t>
  </si>
  <si>
    <t>own use</t>
  </si>
  <si>
    <t>Učešće u proizv</t>
  </si>
  <si>
    <t>OIE</t>
  </si>
  <si>
    <t>Non energy use:</t>
  </si>
  <si>
    <t>Uvoz veći od izvoza ponajviše radi naftnih derivata uglja i sirovd nafte. Izvoz biogoriva i el.</t>
  </si>
  <si>
    <t xml:space="preserve">Rezerve sirove nafte i uglja </t>
  </si>
  <si>
    <t>Izvoznik uglja,derivata biohotibs i energije</t>
  </si>
  <si>
    <t>Ele iz oie</t>
  </si>
  <si>
    <t>El fossil</t>
  </si>
  <si>
    <t>kto</t>
  </si>
  <si>
    <t>u procentima</t>
  </si>
  <si>
    <t>uglavnom</t>
  </si>
  <si>
    <t>hidro</t>
  </si>
  <si>
    <t>TPES per capita</t>
  </si>
  <si>
    <t>TPEES per gdp</t>
  </si>
  <si>
    <t>GJ/$</t>
  </si>
  <si>
    <t>GJ/CAPITA</t>
  </si>
  <si>
    <t>Electricity consumpt/capita</t>
  </si>
  <si>
    <t>MWH/capita</t>
  </si>
  <si>
    <t>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</si>
</sst>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2" fontId="0" fillId="0" borderId="0" xfId="0" applyNumberFormat="1"/>
    <xf numFmtId="2" fontId="1" fillId="3" borderId="0" xfId="0" applyNumberFormat="1" applyFont="1" applyFill="1"/>
    <xf numFmtId="1" fontId="0" fillId="0" borderId="0" xfId="0" applyNumberFormat="1"/>
    <xf numFmtId="1" fontId="1" fillId="3" borderId="0" xfId="0" applyNumberFormat="1" applyFont="1" applyFill="1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939800</xdr:colOff>
      <xdr:row>41</xdr:row>
      <xdr:rowOff>38100</xdr:rowOff>
    </xdr:from>
    <xdr:to>
      <xdr:col>9</xdr:col>
      <xdr:colOff>10160</xdr:colOff>
      <xdr:row>55</xdr:row>
      <xdr:rowOff>44450</xdr:rowOff>
    </xdr:to>
    <xdr:pic>
      <xdr:nvPicPr>
        <xdr:cNvPr id="3" name="Picture 2" descr="Graphical user interface, text, application&#10;&#10;Description automatically generated">
          <a:extLst>
            <a:ext uri="{FF2B5EF4-FFF2-40B4-BE49-F238E27FC236}">
              <a16:creationId xmlns:a16="http://schemas.microsoft.com/office/drawing/2014/main" id="{D2DA7318-844E-4CB2-80F7-D802C15D229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0" y="7588250"/>
          <a:ext cx="5845810" cy="2584450"/>
        </a:xfrm>
        <a:prstGeom prst="rect">
          <a:avLst/>
        </a:prstGeom>
      </xdr:spPr>
    </xdr:pic>
    <xdr:clientData/>
  </xdr:twoCellAnchor>
  <xdr:twoCellAnchor editAs="oneCell">
    <xdr:from>
      <xdr:col>12</xdr:col>
      <xdr:colOff>6350</xdr:colOff>
      <xdr:row>46</xdr:row>
      <xdr:rowOff>171450</xdr:rowOff>
    </xdr:from>
    <xdr:to>
      <xdr:col>26</xdr:col>
      <xdr:colOff>267163</xdr:colOff>
      <xdr:row>59</xdr:row>
      <xdr:rowOff>31866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E4216B-4E7C-463B-B55C-B23CF935F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10600" y="8642350"/>
          <a:ext cx="9011113" cy="22543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EED2-E20C-47A0-B24E-8BE474AE50B9}">
  <dimension ref="A1:AM30"/>
  <sheetViews>
    <sheetView tabSelected="1" topLeftCell="A7" workbookViewId="0">
      <selection activeCell="K12" sqref="K12"/>
    </sheetView>
  </sheetViews>
  <sheetFormatPr defaultRowHeight="14.5" x14ac:dyDescent="0.35"/>
  <cols>
    <col min="1" max="1" width="27.1796875" bestFit="1" customWidth="1"/>
    <col min="2" max="2" width="9.90625" style="8" bestFit="1" customWidth="1"/>
    <col min="3" max="3" width="8.81640625" style="8" customWidth="1"/>
    <col min="4" max="4" width="10.90625" style="8" bestFit="1" customWidth="1"/>
    <col min="5" max="5" width="10.453125" style="8" bestFit="1" customWidth="1"/>
    <col min="6" max="6" width="7.54296875" style="8" customWidth="1"/>
    <col min="7" max="7" width="8.90625" style="8" bestFit="1" customWidth="1"/>
    <col min="8" max="8" width="12.81640625" style="8" customWidth="1"/>
    <col min="9" max="9" width="16.81640625" style="8" bestFit="1" customWidth="1"/>
    <col min="10" max="10" width="11" style="8" bestFit="1" customWidth="1"/>
    <col min="11" max="11" width="9.90625" style="8" bestFit="1" customWidth="1"/>
    <col min="12" max="12" width="11.36328125" style="8" bestFit="1" customWidth="1"/>
    <col min="13" max="39" width="8.7265625" style="10"/>
  </cols>
  <sheetData>
    <row r="1" spans="1:15" x14ac:dyDescent="0.35">
      <c r="A1" s="1" t="s">
        <v>118</v>
      </c>
      <c r="B1" s="8" t="str">
        <f>Sheet1!B1</f>
        <v>Coal</v>
      </c>
      <c r="C1" s="8" t="str">
        <f>Sheet1!C1</f>
        <v>Crude oil</v>
      </c>
      <c r="D1" s="8" t="str">
        <f>Sheet1!D1</f>
        <v>Oil products</v>
      </c>
      <c r="E1" s="8" t="str">
        <f>Sheet1!E1</f>
        <v>Natural gas</v>
      </c>
      <c r="F1" s="8" t="str">
        <f>Sheet1!F1</f>
        <v>Nuclear</v>
      </c>
      <c r="G1" s="8" t="str">
        <f>Sheet1!G1</f>
        <v>Hidro</v>
      </c>
      <c r="H1" s="8" t="str">
        <f>Sheet1!H1</f>
        <v>Wind, solar,etc</v>
      </c>
      <c r="I1" s="8" t="str">
        <f>Sheet1!I1</f>
        <v>Biofuels and waste</v>
      </c>
      <c r="J1" s="8" t="str">
        <f>Sheet1!J1</f>
        <v>Electricity</v>
      </c>
      <c r="K1" s="8" t="str">
        <f>Sheet1!K1</f>
        <v>Heat</v>
      </c>
      <c r="L1" s="8" t="str">
        <f>Sheet1!L1</f>
        <v>Total</v>
      </c>
      <c r="O1" s="11"/>
    </row>
    <row r="2" spans="1:15" x14ac:dyDescent="0.35">
      <c r="A2" t="str">
        <f>Sheet1!A2</f>
        <v>Production</v>
      </c>
      <c r="B2" s="8">
        <v>142461</v>
      </c>
      <c r="F2" s="8">
        <f>Sheet1!F2*41868/10^6</f>
        <v>0</v>
      </c>
      <c r="G2" s="8">
        <v>21964</v>
      </c>
      <c r="H2" s="8">
        <v>1022</v>
      </c>
      <c r="I2" s="8">
        <v>60845</v>
      </c>
      <c r="L2" s="8">
        <f>SUM(B2:K2)</f>
        <v>226292</v>
      </c>
    </row>
    <row r="3" spans="1:15" x14ac:dyDescent="0.35">
      <c r="A3" t="str">
        <f>Sheet1!A3</f>
        <v>Imports</v>
      </c>
      <c r="B3" s="8">
        <v>47059</v>
      </c>
      <c r="D3" s="8">
        <v>66130</v>
      </c>
      <c r="E3" s="8">
        <v>7871</v>
      </c>
      <c r="I3" s="8">
        <v>94</v>
      </c>
      <c r="J3" s="8">
        <v>10170</v>
      </c>
      <c r="L3" s="8">
        <f t="shared" ref="L3:L6" si="0">SUM(B3:K3)</f>
        <v>131324</v>
      </c>
    </row>
    <row r="4" spans="1:15" x14ac:dyDescent="0.35">
      <c r="A4" t="str">
        <f>Sheet1!A4</f>
        <v>Exports</v>
      </c>
      <c r="B4" s="8">
        <v>-14714</v>
      </c>
      <c r="D4" s="8">
        <v>1717</v>
      </c>
      <c r="I4" s="8">
        <v>-8736</v>
      </c>
      <c r="J4" s="8">
        <v>-23634</v>
      </c>
      <c r="L4" s="8">
        <f t="shared" si="0"/>
        <v>-45367</v>
      </c>
    </row>
    <row r="5" spans="1:15" x14ac:dyDescent="0.35">
      <c r="A5" t="str">
        <f>Sheet1!A5</f>
        <v>International marine bunkers</v>
      </c>
    </row>
    <row r="6" spans="1:15" x14ac:dyDescent="0.35">
      <c r="A6" t="str">
        <f>Sheet1!A6</f>
        <v>International aviation bunkers</v>
      </c>
      <c r="D6" s="8">
        <v>-388</v>
      </c>
      <c r="L6" s="8">
        <f t="shared" si="0"/>
        <v>-388</v>
      </c>
    </row>
    <row r="7" spans="1:15" x14ac:dyDescent="0.35">
      <c r="A7" t="str">
        <f>Sheet1!A7</f>
        <v>Stock changes</v>
      </c>
      <c r="B7" s="8">
        <v>-11183</v>
      </c>
      <c r="C7" s="8">
        <v>3259</v>
      </c>
      <c r="D7" s="8">
        <v>1472</v>
      </c>
      <c r="L7" s="8">
        <f>SUM(B7:K7)</f>
        <v>-6452</v>
      </c>
    </row>
    <row r="8" spans="1:15" x14ac:dyDescent="0.35">
      <c r="A8" s="4" t="str">
        <f>Sheet1!A8</f>
        <v>TES</v>
      </c>
      <c r="B8" s="9">
        <f>SUM(B2:B7)</f>
        <v>163623</v>
      </c>
      <c r="C8" s="9">
        <f t="shared" ref="C8:L8" si="1">SUM(C2:C7)</f>
        <v>3259</v>
      </c>
      <c r="D8" s="9">
        <f t="shared" si="1"/>
        <v>68931</v>
      </c>
      <c r="E8" s="9">
        <f t="shared" si="1"/>
        <v>7871</v>
      </c>
      <c r="F8" s="9">
        <f t="shared" si="1"/>
        <v>0</v>
      </c>
      <c r="G8" s="9">
        <f t="shared" si="1"/>
        <v>21964</v>
      </c>
      <c r="H8" s="9">
        <f t="shared" si="1"/>
        <v>1022</v>
      </c>
      <c r="I8" s="9">
        <f t="shared" si="1"/>
        <v>52203</v>
      </c>
      <c r="J8" s="9">
        <f t="shared" si="1"/>
        <v>-13464</v>
      </c>
      <c r="K8" s="9">
        <f t="shared" si="1"/>
        <v>0</v>
      </c>
      <c r="L8" s="9">
        <f t="shared" si="1"/>
        <v>305409</v>
      </c>
    </row>
    <row r="9" spans="1:15" x14ac:dyDescent="0.35">
      <c r="A9" t="str">
        <f>Sheet1!A9</f>
        <v>Transfers</v>
      </c>
    </row>
    <row r="10" spans="1:15" x14ac:dyDescent="0.35">
      <c r="A10" t="str">
        <f>Sheet1!A10</f>
        <v>Statistical differences</v>
      </c>
      <c r="B10" s="8">
        <v>-4</v>
      </c>
      <c r="C10" s="8">
        <v>280</v>
      </c>
      <c r="L10" s="8">
        <f>SUM(B10:K10)</f>
        <v>276</v>
      </c>
    </row>
    <row r="11" spans="1:15" x14ac:dyDescent="0.35">
      <c r="A11" t="str">
        <f>Sheet1!A11</f>
        <v>Electricity plants</v>
      </c>
      <c r="B11" s="8">
        <v>-123866</v>
      </c>
      <c r="D11" s="8">
        <v>-504</v>
      </c>
      <c r="E11" s="8">
        <v>-242</v>
      </c>
      <c r="F11" s="8">
        <f>Sheet1!F11*41868/10^6</f>
        <v>0</v>
      </c>
      <c r="G11" s="8">
        <v>-21964</v>
      </c>
      <c r="H11" s="8">
        <v>-1022</v>
      </c>
      <c r="I11" s="8">
        <v>-67</v>
      </c>
      <c r="J11" s="8">
        <v>61963</v>
      </c>
      <c r="L11" s="8">
        <f t="shared" ref="L11:L21" si="2">SUM(B11:K11)</f>
        <v>-85702</v>
      </c>
    </row>
    <row r="12" spans="1:15" x14ac:dyDescent="0.35">
      <c r="A12" t="str">
        <f>Sheet1!A12</f>
        <v>CHP plants</v>
      </c>
      <c r="B12" s="8">
        <v>-3393</v>
      </c>
      <c r="I12" s="8">
        <v>-179</v>
      </c>
      <c r="J12" s="8">
        <v>756</v>
      </c>
      <c r="K12" s="8">
        <v>1688</v>
      </c>
      <c r="L12" s="8">
        <f t="shared" si="2"/>
        <v>-1128</v>
      </c>
    </row>
    <row r="13" spans="1:15" x14ac:dyDescent="0.35">
      <c r="A13" t="str">
        <f>Sheet1!A13</f>
        <v>Heat plants</v>
      </c>
      <c r="B13" s="8">
        <v>-2349</v>
      </c>
      <c r="D13" s="8">
        <v>-65</v>
      </c>
      <c r="E13" s="8">
        <v>-1741</v>
      </c>
      <c r="I13" s="8">
        <v>-1349</v>
      </c>
      <c r="J13" s="8">
        <f>Sheet1!J13*41868/10^6</f>
        <v>0</v>
      </c>
      <c r="K13" s="8">
        <v>3883</v>
      </c>
      <c r="L13" s="8">
        <f t="shared" si="2"/>
        <v>-1621</v>
      </c>
    </row>
    <row r="14" spans="1:15" x14ac:dyDescent="0.35">
      <c r="A14" t="str">
        <f>Sheet1!A14</f>
        <v>Gas works</v>
      </c>
      <c r="N14" s="12"/>
    </row>
    <row r="15" spans="1:15" x14ac:dyDescent="0.35">
      <c r="A15" t="str">
        <f>Sheet1!A15</f>
        <v>Oil refineries</v>
      </c>
      <c r="C15" s="8">
        <v>-3540</v>
      </c>
      <c r="D15" s="8">
        <v>3151</v>
      </c>
      <c r="L15" s="8">
        <f t="shared" si="2"/>
        <v>-389</v>
      </c>
    </row>
    <row r="16" spans="1:15" x14ac:dyDescent="0.35">
      <c r="A16" t="str">
        <f>Sheet1!A16</f>
        <v>Coal transformation</v>
      </c>
      <c r="B16" s="8">
        <v>-13900</v>
      </c>
      <c r="L16" s="8">
        <f t="shared" si="2"/>
        <v>-13900</v>
      </c>
    </row>
    <row r="17" spans="1:12" x14ac:dyDescent="0.35">
      <c r="A17" t="str">
        <f>Sheet1!A17</f>
        <v>Liquefication plants</v>
      </c>
    </row>
    <row r="18" spans="1:12" x14ac:dyDescent="0.35">
      <c r="A18" t="str">
        <f>Sheet1!A18</f>
        <v>Other transformation</v>
      </c>
      <c r="I18" s="8">
        <v>-1407</v>
      </c>
      <c r="L18" s="8">
        <f t="shared" si="2"/>
        <v>-1407</v>
      </c>
    </row>
    <row r="19" spans="1:12" x14ac:dyDescent="0.35">
      <c r="A19" t="str">
        <f>Sheet1!A19</f>
        <v>Energy industry own use</v>
      </c>
      <c r="B19" s="8">
        <v>-6447</v>
      </c>
      <c r="D19" s="8">
        <v>-1765</v>
      </c>
      <c r="I19" s="8">
        <f>Sheet1!I19*41868/10^6</f>
        <v>0</v>
      </c>
      <c r="J19" s="8">
        <v>-5155</v>
      </c>
      <c r="K19" s="8">
        <v>-21</v>
      </c>
      <c r="L19" s="8">
        <f t="shared" si="2"/>
        <v>-13388</v>
      </c>
    </row>
    <row r="20" spans="1:12" x14ac:dyDescent="0.35">
      <c r="A20" t="str">
        <f>Sheet1!A20</f>
        <v>Losses</v>
      </c>
      <c r="E20" s="8">
        <v>-26</v>
      </c>
      <c r="I20" s="8">
        <f>Sheet1!I20*41868/10^6</f>
        <v>0</v>
      </c>
      <c r="J20" s="8">
        <v>-4525</v>
      </c>
      <c r="K20" s="8">
        <v>-422</v>
      </c>
      <c r="L20" s="8">
        <f t="shared" si="2"/>
        <v>-4973</v>
      </c>
    </row>
    <row r="21" spans="1:12" x14ac:dyDescent="0.35">
      <c r="A21" s="4" t="str">
        <f>Sheet1!A21</f>
        <v>Total final consumption</v>
      </c>
      <c r="B21" s="9">
        <f>B8+SUM(B9:B20)</f>
        <v>13664</v>
      </c>
      <c r="C21" s="9">
        <f t="shared" ref="C21:J21" si="3">C8+SUM(C9:C20)</f>
        <v>-1</v>
      </c>
      <c r="D21" s="9">
        <f t="shared" si="3"/>
        <v>69748</v>
      </c>
      <c r="E21" s="9">
        <f t="shared" si="3"/>
        <v>5862</v>
      </c>
      <c r="F21" s="9">
        <f t="shared" si="3"/>
        <v>0</v>
      </c>
      <c r="G21" s="9">
        <f t="shared" si="3"/>
        <v>0</v>
      </c>
      <c r="H21" s="9">
        <f t="shared" si="3"/>
        <v>0</v>
      </c>
      <c r="I21" s="9">
        <f t="shared" si="3"/>
        <v>49201</v>
      </c>
      <c r="J21" s="9">
        <f t="shared" si="3"/>
        <v>39575</v>
      </c>
      <c r="K21" s="9">
        <f t="shared" ref="K21" si="4">SUM(K9:K20)</f>
        <v>5128</v>
      </c>
      <c r="L21" s="9">
        <f t="shared" si="2"/>
        <v>183177</v>
      </c>
    </row>
    <row r="22" spans="1:12" x14ac:dyDescent="0.35">
      <c r="A22" t="str">
        <f>Sheet1!A22</f>
        <v>Industry</v>
      </c>
      <c r="B22" s="8">
        <v>8875</v>
      </c>
      <c r="D22" s="8">
        <v>4768</v>
      </c>
      <c r="E22" s="8">
        <v>3199</v>
      </c>
      <c r="I22" s="8">
        <v>721</v>
      </c>
      <c r="J22" s="8">
        <v>13284</v>
      </c>
      <c r="K22" s="8">
        <v>25</v>
      </c>
      <c r="L22" s="8">
        <f>SUM(B22:K22)</f>
        <v>30872</v>
      </c>
    </row>
    <row r="23" spans="1:12" x14ac:dyDescent="0.35">
      <c r="A23" t="str">
        <f>Sheet1!A23</f>
        <v>Transport</v>
      </c>
      <c r="D23" s="8">
        <v>54970</v>
      </c>
      <c r="E23" s="8">
        <v>96</v>
      </c>
      <c r="J23" s="8">
        <v>212</v>
      </c>
      <c r="L23" s="8">
        <f t="shared" ref="L23:L28" si="5">SUM(B23:K23)</f>
        <v>55278</v>
      </c>
    </row>
    <row r="24" spans="1:12" x14ac:dyDescent="0.35">
      <c r="A24" t="str">
        <f>Sheet1!A24</f>
        <v>Residential</v>
      </c>
      <c r="B24" s="8">
        <v>2399</v>
      </c>
      <c r="D24" s="8">
        <v>578</v>
      </c>
      <c r="E24" s="8">
        <v>1623</v>
      </c>
      <c r="I24" s="8">
        <v>45096</v>
      </c>
      <c r="J24" s="8">
        <v>17014</v>
      </c>
      <c r="K24" s="8">
        <v>3901</v>
      </c>
      <c r="L24" s="8">
        <f t="shared" si="5"/>
        <v>70611</v>
      </c>
    </row>
    <row r="25" spans="1:12" x14ac:dyDescent="0.35">
      <c r="A25" t="str">
        <f>Sheet1!A25</f>
        <v>Commercial and public services</v>
      </c>
      <c r="B25" s="8">
        <v>1753</v>
      </c>
      <c r="D25" s="8">
        <v>906</v>
      </c>
      <c r="E25" s="8">
        <v>942</v>
      </c>
      <c r="I25" s="8">
        <v>3383</v>
      </c>
      <c r="J25" s="8">
        <v>8852</v>
      </c>
      <c r="K25" s="8">
        <v>1202</v>
      </c>
      <c r="L25" s="8">
        <f t="shared" si="5"/>
        <v>17038</v>
      </c>
    </row>
    <row r="26" spans="1:12" x14ac:dyDescent="0.35">
      <c r="A26" t="str">
        <f>Sheet1!A26</f>
        <v>Agriculture/forestry</v>
      </c>
      <c r="B26" s="8">
        <v>7</v>
      </c>
      <c r="D26" s="8">
        <v>1412</v>
      </c>
      <c r="J26" s="8">
        <v>212</v>
      </c>
      <c r="L26" s="8">
        <f t="shared" si="5"/>
        <v>1631</v>
      </c>
    </row>
    <row r="27" spans="1:12" x14ac:dyDescent="0.35">
      <c r="A27" t="str">
        <f>Sheet1!A27</f>
        <v>Fishing</v>
      </c>
      <c r="L27" s="8">
        <f t="shared" si="5"/>
        <v>0</v>
      </c>
    </row>
    <row r="28" spans="1:12" x14ac:dyDescent="0.35">
      <c r="A28" t="str">
        <f>Sheet1!A28</f>
        <v>Non-specified</v>
      </c>
      <c r="L28" s="8">
        <f t="shared" si="5"/>
        <v>0</v>
      </c>
    </row>
    <row r="29" spans="1:12" x14ac:dyDescent="0.35">
      <c r="A29" t="str">
        <f>Sheet1!A29</f>
        <v>Non-energy use</v>
      </c>
      <c r="B29" s="8">
        <v>630</v>
      </c>
      <c r="E29" s="8">
        <v>3859</v>
      </c>
      <c r="L29" s="8">
        <f>SUM(B29:K29)</f>
        <v>4489</v>
      </c>
    </row>
    <row r="30" spans="1:12" x14ac:dyDescent="0.35">
      <c r="A30" s="4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7AC6-4A36-401F-80F6-18153FD4FB45}">
  <dimension ref="A1:R30"/>
  <sheetViews>
    <sheetView topLeftCell="D16" workbookViewId="0">
      <selection activeCell="N30" sqref="N30"/>
    </sheetView>
  </sheetViews>
  <sheetFormatPr defaultRowHeight="14.5" x14ac:dyDescent="0.35"/>
  <cols>
    <col min="1" max="1" width="26.26953125" bestFit="1" customWidth="1"/>
    <col min="4" max="4" width="10.90625" bestFit="1" customWidth="1"/>
    <col min="5" max="5" width="10.1796875" bestFit="1" customWidth="1"/>
    <col min="8" max="8" width="13.26953125" bestFit="1" customWidth="1"/>
    <col min="9" max="9" width="16.54296875" bestFit="1" customWidth="1"/>
    <col min="14" max="14" width="25" bestFit="1" customWidth="1"/>
  </cols>
  <sheetData>
    <row r="1" spans="1:1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8" x14ac:dyDescent="0.35">
      <c r="A2" t="s">
        <v>11</v>
      </c>
      <c r="B2">
        <v>3659</v>
      </c>
      <c r="G2">
        <v>552</v>
      </c>
      <c r="H2">
        <v>11</v>
      </c>
      <c r="I2">
        <v>1451</v>
      </c>
      <c r="L2">
        <f>SUM(B2:K2)</f>
        <v>5673</v>
      </c>
      <c r="Q2" t="s">
        <v>64</v>
      </c>
      <c r="R2" t="s">
        <v>65</v>
      </c>
    </row>
    <row r="3" spans="1:18" x14ac:dyDescent="0.35">
      <c r="A3" t="s">
        <v>12</v>
      </c>
      <c r="B3">
        <v>1064</v>
      </c>
      <c r="C3">
        <v>709</v>
      </c>
      <c r="D3">
        <v>1154</v>
      </c>
      <c r="E3">
        <v>199</v>
      </c>
      <c r="I3">
        <v>6</v>
      </c>
      <c r="J3">
        <v>266</v>
      </c>
      <c r="L3">
        <f>SUM(B3:K3)</f>
        <v>3398</v>
      </c>
      <c r="N3" s="5" t="s">
        <v>39</v>
      </c>
      <c r="O3" s="1">
        <f>C8+D8</f>
        <v>1680</v>
      </c>
      <c r="P3" t="s">
        <v>40</v>
      </c>
      <c r="Q3">
        <f>O3*11630/10^6</f>
        <v>19.538399999999999</v>
      </c>
      <c r="R3">
        <f>O3*41868/10^6</f>
        <v>70.338239999999999</v>
      </c>
    </row>
    <row r="4" spans="1:18" x14ac:dyDescent="0.35">
      <c r="A4" t="s">
        <v>13</v>
      </c>
      <c r="B4">
        <v>-435</v>
      </c>
      <c r="D4">
        <v>-225</v>
      </c>
      <c r="I4">
        <v>-265</v>
      </c>
      <c r="J4">
        <v>-662</v>
      </c>
      <c r="L4">
        <f>SUM(B4:K4)</f>
        <v>-1587</v>
      </c>
      <c r="N4" t="s">
        <v>41</v>
      </c>
      <c r="O4">
        <f>D15</f>
        <v>704</v>
      </c>
      <c r="P4" t="s">
        <v>40</v>
      </c>
      <c r="Q4">
        <f t="shared" ref="Q4:Q26" si="0">O4*11630/10^6</f>
        <v>8.1875199999999992</v>
      </c>
      <c r="R4">
        <f t="shared" ref="R4:R26" si="1">O4*41868/10^6</f>
        <v>29.475072000000001</v>
      </c>
    </row>
    <row r="5" spans="1:18" x14ac:dyDescent="0.35">
      <c r="A5" t="s">
        <v>14</v>
      </c>
      <c r="L5">
        <f t="shared" ref="L5:L7" si="2">SUM(B5:I5)</f>
        <v>0</v>
      </c>
      <c r="N5" t="s">
        <v>42</v>
      </c>
      <c r="O5" s="1">
        <f>C3+D3+D4</f>
        <v>1638</v>
      </c>
      <c r="P5" t="s">
        <v>40</v>
      </c>
      <c r="Q5">
        <f t="shared" si="0"/>
        <v>19.049939999999999</v>
      </c>
      <c r="R5">
        <f t="shared" si="1"/>
        <v>68.579784000000004</v>
      </c>
    </row>
    <row r="6" spans="1:18" x14ac:dyDescent="0.35">
      <c r="A6" t="s">
        <v>15</v>
      </c>
      <c r="D6">
        <v>-8</v>
      </c>
      <c r="L6">
        <f t="shared" si="2"/>
        <v>-8</v>
      </c>
      <c r="N6" t="s">
        <v>43</v>
      </c>
      <c r="O6" s="1">
        <f>D23/D21</f>
        <v>0.80275229357798161</v>
      </c>
    </row>
    <row r="7" spans="1:18" x14ac:dyDescent="0.35">
      <c r="A7" t="s">
        <v>16</v>
      </c>
      <c r="B7">
        <v>-58</v>
      </c>
      <c r="C7">
        <v>14</v>
      </c>
      <c r="D7">
        <v>36</v>
      </c>
      <c r="L7">
        <f t="shared" si="2"/>
        <v>-8</v>
      </c>
      <c r="N7" t="s">
        <v>44</v>
      </c>
      <c r="O7">
        <f>B2</f>
        <v>3659</v>
      </c>
      <c r="P7" t="s">
        <v>40</v>
      </c>
      <c r="Q7">
        <f t="shared" si="0"/>
        <v>42.554169999999999</v>
      </c>
      <c r="R7">
        <f t="shared" si="1"/>
        <v>153.19501199999999</v>
      </c>
    </row>
    <row r="8" spans="1:18" x14ac:dyDescent="0.35">
      <c r="A8" s="2" t="s">
        <v>17</v>
      </c>
      <c r="B8" s="2">
        <f>B2+B3+B4+B5+B6+B7</f>
        <v>4230</v>
      </c>
      <c r="C8" s="2">
        <f t="shared" ref="C8:G8" si="3">C2+C3+C4+C5+C6+C7</f>
        <v>723</v>
      </c>
      <c r="D8" s="2">
        <f t="shared" si="3"/>
        <v>957</v>
      </c>
      <c r="E8" s="2">
        <f t="shared" si="3"/>
        <v>199</v>
      </c>
      <c r="F8" s="2">
        <f t="shared" si="3"/>
        <v>0</v>
      </c>
      <c r="G8" s="2">
        <f t="shared" si="3"/>
        <v>552</v>
      </c>
      <c r="H8" s="2">
        <f>H2+H3+H4+H5+H6+H7</f>
        <v>11</v>
      </c>
      <c r="I8" s="2">
        <f t="shared" ref="I8" si="4">I2+I3+I4+I5+I6+I7</f>
        <v>1192</v>
      </c>
      <c r="J8" s="2">
        <f t="shared" ref="J8" si="5">J2+J3+J4+J5+J6+J7</f>
        <v>-396</v>
      </c>
      <c r="K8" s="2">
        <f t="shared" ref="K8" si="6">K2+K3+K4+K5+K6+K7</f>
        <v>0</v>
      </c>
      <c r="L8" s="3">
        <f>SUM(B8:J8)</f>
        <v>7468</v>
      </c>
      <c r="M8" s="3">
        <f>SUM(L2:L7)</f>
        <v>7468</v>
      </c>
      <c r="N8" t="s">
        <v>45</v>
      </c>
      <c r="O8">
        <f>B8</f>
        <v>4230</v>
      </c>
      <c r="P8" t="s">
        <v>40</v>
      </c>
      <c r="Q8">
        <f t="shared" si="0"/>
        <v>49.194899999999997</v>
      </c>
      <c r="R8">
        <f t="shared" si="1"/>
        <v>177.10164</v>
      </c>
    </row>
    <row r="9" spans="1:18" x14ac:dyDescent="0.35">
      <c r="A9" t="s">
        <v>18</v>
      </c>
      <c r="N9" t="s">
        <v>46</v>
      </c>
      <c r="O9">
        <f>B8-B2</f>
        <v>571</v>
      </c>
      <c r="P9" t="s">
        <v>40</v>
      </c>
      <c r="Q9">
        <f t="shared" si="0"/>
        <v>6.6407299999999996</v>
      </c>
      <c r="R9">
        <f t="shared" si="1"/>
        <v>23.906628000000001</v>
      </c>
    </row>
    <row r="10" spans="1:18" x14ac:dyDescent="0.35">
      <c r="A10" t="s">
        <v>19</v>
      </c>
      <c r="N10" t="s">
        <v>47</v>
      </c>
      <c r="O10">
        <f>(B11+B12+B13)/B8</f>
        <v>-0.80023640661938533</v>
      </c>
    </row>
    <row r="11" spans="1:18" x14ac:dyDescent="0.35">
      <c r="A11" t="s">
        <v>20</v>
      </c>
      <c r="B11" s="1">
        <v>-3245</v>
      </c>
      <c r="C11" s="1"/>
      <c r="D11" s="1">
        <v>-11</v>
      </c>
      <c r="E11" s="1">
        <v>-6</v>
      </c>
      <c r="F11" s="1"/>
      <c r="G11" s="1">
        <v>-552</v>
      </c>
      <c r="H11" s="1">
        <v>-11</v>
      </c>
      <c r="I11" s="1">
        <v>-2</v>
      </c>
      <c r="J11" s="1">
        <v>1620</v>
      </c>
      <c r="K11" s="1"/>
      <c r="L11">
        <f>SUM(B11:J11)</f>
        <v>-2207</v>
      </c>
      <c r="N11" t="s">
        <v>48</v>
      </c>
      <c r="O11">
        <f>E3</f>
        <v>199</v>
      </c>
      <c r="P11" t="s">
        <v>40</v>
      </c>
      <c r="Q11">
        <f t="shared" si="0"/>
        <v>2.3143699999999998</v>
      </c>
      <c r="R11">
        <f t="shared" si="1"/>
        <v>8.3317320000000006</v>
      </c>
    </row>
    <row r="12" spans="1:18" x14ac:dyDescent="0.35">
      <c r="A12" t="s">
        <v>21</v>
      </c>
      <c r="B12" s="1">
        <v>-84</v>
      </c>
      <c r="C12" s="1"/>
      <c r="D12" s="1"/>
      <c r="E12" s="1"/>
      <c r="F12" s="1"/>
      <c r="G12" s="1"/>
      <c r="H12" s="1"/>
      <c r="I12" s="1">
        <v>-5</v>
      </c>
      <c r="J12" s="1">
        <v>19</v>
      </c>
      <c r="K12" s="1">
        <v>42</v>
      </c>
      <c r="L12">
        <f>SUM(B12:K12)</f>
        <v>-28</v>
      </c>
      <c r="N12" t="s">
        <v>49</v>
      </c>
      <c r="O12">
        <f>E8</f>
        <v>199</v>
      </c>
      <c r="P12" t="s">
        <v>40</v>
      </c>
      <c r="Q12">
        <f t="shared" si="0"/>
        <v>2.3143699999999998</v>
      </c>
      <c r="R12">
        <f t="shared" si="1"/>
        <v>8.3317320000000006</v>
      </c>
    </row>
    <row r="13" spans="1:18" x14ac:dyDescent="0.35">
      <c r="A13" t="s">
        <v>29</v>
      </c>
      <c r="B13" s="1">
        <v>-56</v>
      </c>
      <c r="C13" s="1"/>
      <c r="D13" s="1">
        <v>-8</v>
      </c>
      <c r="E13" s="1">
        <v>-44</v>
      </c>
      <c r="F13" s="1"/>
      <c r="G13" s="1"/>
      <c r="H13" s="1"/>
      <c r="I13" s="1">
        <v>-26</v>
      </c>
      <c r="J13" s="1"/>
      <c r="K13" s="1">
        <v>96</v>
      </c>
      <c r="L13">
        <f>SUM(B13:K13)</f>
        <v>-38</v>
      </c>
      <c r="N13" t="s">
        <v>50</v>
      </c>
      <c r="O13">
        <f>G2+H2+I2</f>
        <v>2014</v>
      </c>
      <c r="P13" t="s">
        <v>40</v>
      </c>
      <c r="Q13">
        <f t="shared" si="0"/>
        <v>23.422820000000002</v>
      </c>
      <c r="R13">
        <f t="shared" si="1"/>
        <v>84.322152000000003</v>
      </c>
    </row>
    <row r="14" spans="1:18" x14ac:dyDescent="0.35">
      <c r="A14" t="s">
        <v>30</v>
      </c>
      <c r="L14">
        <f t="shared" ref="L14" si="7">SUM(B14:J14)</f>
        <v>0</v>
      </c>
      <c r="N14" t="s">
        <v>51</v>
      </c>
      <c r="O14">
        <f>(G8+H8+I8)/L8</f>
        <v>0.23500267809319764</v>
      </c>
    </row>
    <row r="15" spans="1:18" x14ac:dyDescent="0.35">
      <c r="A15" t="s">
        <v>22</v>
      </c>
      <c r="C15">
        <v>-723</v>
      </c>
      <c r="D15">
        <v>704</v>
      </c>
      <c r="L15">
        <f t="shared" ref="L15:L16" si="8">SUM(B15:K15)</f>
        <v>-19</v>
      </c>
      <c r="N15" t="s">
        <v>52</v>
      </c>
      <c r="O15">
        <f>I2/O13</f>
        <v>0.72045680238331677</v>
      </c>
    </row>
    <row r="16" spans="1:18" x14ac:dyDescent="0.35">
      <c r="A16" t="s">
        <v>23</v>
      </c>
      <c r="B16">
        <v>-290</v>
      </c>
      <c r="L16">
        <f t="shared" si="8"/>
        <v>-290</v>
      </c>
      <c r="N16" t="s">
        <v>61</v>
      </c>
      <c r="O16">
        <f>-(G11+H11+I11+I12+I13)/(G8+H8+I8)</f>
        <v>0.33960113960113958</v>
      </c>
    </row>
    <row r="17" spans="1:18" x14ac:dyDescent="0.35">
      <c r="A17" t="s">
        <v>24</v>
      </c>
      <c r="L17">
        <f t="shared" ref="L17" si="9">SUM(B17:J17)</f>
        <v>0</v>
      </c>
      <c r="N17" t="s">
        <v>53</v>
      </c>
      <c r="O17">
        <f>(J11+J12)</f>
        <v>1639</v>
      </c>
      <c r="P17" t="s">
        <v>40</v>
      </c>
      <c r="Q17">
        <f t="shared" si="0"/>
        <v>19.06157</v>
      </c>
      <c r="R17">
        <f t="shared" si="1"/>
        <v>68.621651999999997</v>
      </c>
    </row>
    <row r="18" spans="1:18" x14ac:dyDescent="0.35">
      <c r="A18" t="s">
        <v>25</v>
      </c>
      <c r="I18">
        <v>-32</v>
      </c>
      <c r="L18">
        <f t="shared" ref="L18:L20" si="10">SUM(B18:K18)</f>
        <v>-32</v>
      </c>
      <c r="N18" t="s">
        <v>54</v>
      </c>
      <c r="O18">
        <f>(B11+D11+E11+E13+D13+B13+B12+B16+C15+D15+D19+B19+E20)/(B8+C8+D8+E8)</f>
        <v>-0.66246521525617941</v>
      </c>
    </row>
    <row r="19" spans="1:18" x14ac:dyDescent="0.35">
      <c r="A19" t="s">
        <v>26</v>
      </c>
      <c r="B19">
        <v>-167</v>
      </c>
      <c r="D19">
        <v>-116</v>
      </c>
      <c r="J19">
        <v>-142</v>
      </c>
      <c r="K19">
        <v>-1</v>
      </c>
      <c r="L19">
        <f t="shared" si="10"/>
        <v>-426</v>
      </c>
      <c r="N19" t="s">
        <v>55</v>
      </c>
      <c r="O19">
        <f>L8</f>
        <v>7468</v>
      </c>
      <c r="P19" t="s">
        <v>40</v>
      </c>
      <c r="Q19">
        <f t="shared" si="0"/>
        <v>86.85284</v>
      </c>
      <c r="R19">
        <f t="shared" si="1"/>
        <v>312.67022400000002</v>
      </c>
    </row>
    <row r="20" spans="1:18" x14ac:dyDescent="0.35">
      <c r="A20" t="s">
        <v>27</v>
      </c>
      <c r="E20">
        <v>-1</v>
      </c>
      <c r="J20">
        <v>-116</v>
      </c>
      <c r="K20">
        <v>-10</v>
      </c>
      <c r="L20">
        <f t="shared" si="10"/>
        <v>-127</v>
      </c>
      <c r="N20" t="s">
        <v>56</v>
      </c>
      <c r="O20">
        <f>L21</f>
        <v>4301</v>
      </c>
      <c r="P20" t="s">
        <v>40</v>
      </c>
      <c r="Q20">
        <f t="shared" si="0"/>
        <v>50.020629999999997</v>
      </c>
      <c r="R20">
        <f t="shared" si="1"/>
        <v>180.07426799999999</v>
      </c>
    </row>
    <row r="21" spans="1:18" x14ac:dyDescent="0.35">
      <c r="A21" t="s">
        <v>28</v>
      </c>
      <c r="B21" s="2">
        <f>SUM(B8+SUM(B9:B20))</f>
        <v>388</v>
      </c>
      <c r="C21" s="2">
        <f t="shared" ref="C21:K21" si="11">SUM(C8+SUM(C9:C20))</f>
        <v>0</v>
      </c>
      <c r="D21" s="2">
        <f t="shared" si="11"/>
        <v>1526</v>
      </c>
      <c r="E21" s="2">
        <f t="shared" si="11"/>
        <v>148</v>
      </c>
      <c r="F21" s="2">
        <f t="shared" si="11"/>
        <v>0</v>
      </c>
      <c r="G21" s="2">
        <f t="shared" si="11"/>
        <v>0</v>
      </c>
      <c r="H21" s="2">
        <f t="shared" si="11"/>
        <v>0</v>
      </c>
      <c r="I21" s="2">
        <f t="shared" si="11"/>
        <v>1127</v>
      </c>
      <c r="J21" s="2">
        <f t="shared" si="11"/>
        <v>985</v>
      </c>
      <c r="K21" s="2">
        <f t="shared" si="11"/>
        <v>127</v>
      </c>
      <c r="L21" s="3">
        <f>SUM(B21:K21)</f>
        <v>4301</v>
      </c>
      <c r="M21" s="1">
        <f>L8+SUM(L9:L20)</f>
        <v>4301</v>
      </c>
      <c r="N21" t="s">
        <v>57</v>
      </c>
      <c r="O21">
        <f>L22/L21</f>
        <v>0.20065101139269936</v>
      </c>
    </row>
    <row r="22" spans="1:18" x14ac:dyDescent="0.35">
      <c r="A22" t="s">
        <v>31</v>
      </c>
      <c r="B22">
        <v>263</v>
      </c>
      <c r="D22">
        <v>120</v>
      </c>
      <c r="E22">
        <v>87</v>
      </c>
      <c r="I22">
        <v>17</v>
      </c>
      <c r="J22">
        <v>375</v>
      </c>
      <c r="K22">
        <v>1</v>
      </c>
      <c r="L22">
        <f>SUM(B22:K22)</f>
        <v>863</v>
      </c>
      <c r="N22" t="s">
        <v>58</v>
      </c>
      <c r="O22">
        <f>L24/L21</f>
        <v>0.39990699837247151</v>
      </c>
    </row>
    <row r="23" spans="1:18" x14ac:dyDescent="0.35">
      <c r="A23" t="s">
        <v>32</v>
      </c>
      <c r="D23">
        <v>1225</v>
      </c>
      <c r="E23">
        <v>2</v>
      </c>
      <c r="J23">
        <v>5</v>
      </c>
      <c r="L23">
        <f t="shared" ref="L23:L29" si="12">SUM(B23:K23)</f>
        <v>1232</v>
      </c>
      <c r="N23" t="s">
        <v>59</v>
      </c>
      <c r="O23">
        <f>L23/L21</f>
        <v>0.28644501278772377</v>
      </c>
    </row>
    <row r="24" spans="1:18" x14ac:dyDescent="0.35">
      <c r="A24" t="s">
        <v>33</v>
      </c>
      <c r="B24">
        <v>77</v>
      </c>
      <c r="D24">
        <v>26</v>
      </c>
      <c r="E24">
        <v>36</v>
      </c>
      <c r="I24">
        <v>1083</v>
      </c>
      <c r="J24">
        <v>403</v>
      </c>
      <c r="K24">
        <v>95</v>
      </c>
      <c r="L24">
        <f t="shared" si="12"/>
        <v>1720</v>
      </c>
      <c r="N24" t="s">
        <v>60</v>
      </c>
      <c r="O24">
        <f>J21+K21</f>
        <v>1112</v>
      </c>
      <c r="P24" t="s">
        <v>40</v>
      </c>
      <c r="Q24">
        <f t="shared" si="0"/>
        <v>12.93256</v>
      </c>
      <c r="R24">
        <f t="shared" si="1"/>
        <v>46.557215999999997</v>
      </c>
    </row>
    <row r="25" spans="1:18" x14ac:dyDescent="0.35">
      <c r="A25" t="s">
        <v>34</v>
      </c>
      <c r="B25">
        <v>49</v>
      </c>
      <c r="D25">
        <v>21</v>
      </c>
      <c r="E25">
        <v>23</v>
      </c>
      <c r="I25">
        <v>27</v>
      </c>
      <c r="J25">
        <v>196</v>
      </c>
      <c r="K25">
        <v>32</v>
      </c>
      <c r="L25">
        <f t="shared" si="12"/>
        <v>348</v>
      </c>
      <c r="N25" t="s">
        <v>62</v>
      </c>
      <c r="O25" s="1">
        <f>(G2+H2+I2)/L2</f>
        <v>0.35501498325401021</v>
      </c>
    </row>
    <row r="26" spans="1:18" x14ac:dyDescent="0.35">
      <c r="A26" t="s">
        <v>35</v>
      </c>
      <c r="D26">
        <v>37</v>
      </c>
      <c r="J26">
        <v>5</v>
      </c>
      <c r="L26">
        <f t="shared" si="12"/>
        <v>42</v>
      </c>
      <c r="N26" t="s">
        <v>63</v>
      </c>
      <c r="O26">
        <f>L2</f>
        <v>5673</v>
      </c>
      <c r="P26" t="s">
        <v>40</v>
      </c>
      <c r="Q26">
        <f t="shared" si="0"/>
        <v>65.976990000000001</v>
      </c>
      <c r="R26">
        <f t="shared" si="1"/>
        <v>237.51716400000001</v>
      </c>
    </row>
    <row r="27" spans="1:18" x14ac:dyDescent="0.35">
      <c r="A27" t="s">
        <v>36</v>
      </c>
      <c r="L27">
        <f t="shared" si="12"/>
        <v>0</v>
      </c>
    </row>
    <row r="28" spans="1:18" x14ac:dyDescent="0.35">
      <c r="A28" t="s">
        <v>37</v>
      </c>
      <c r="L28">
        <f t="shared" si="12"/>
        <v>0</v>
      </c>
    </row>
    <row r="29" spans="1:18" x14ac:dyDescent="0.35">
      <c r="A29" t="s">
        <v>38</v>
      </c>
      <c r="D29">
        <v>98</v>
      </c>
      <c r="L29">
        <f t="shared" si="12"/>
        <v>98</v>
      </c>
    </row>
    <row r="30" spans="1:18" x14ac:dyDescent="0.35">
      <c r="B30" s="1">
        <f t="shared" ref="B30:L30" si="13">SUM(B22:B29)</f>
        <v>389</v>
      </c>
      <c r="C30" s="1">
        <f t="shared" si="13"/>
        <v>0</v>
      </c>
      <c r="D30" s="1">
        <f t="shared" si="13"/>
        <v>1527</v>
      </c>
      <c r="E30" s="1">
        <f t="shared" si="13"/>
        <v>148</v>
      </c>
      <c r="F30" s="1">
        <f t="shared" si="13"/>
        <v>0</v>
      </c>
      <c r="G30" s="1">
        <f t="shared" si="13"/>
        <v>0</v>
      </c>
      <c r="H30" s="1">
        <f t="shared" si="13"/>
        <v>0</v>
      </c>
      <c r="I30" s="1">
        <f t="shared" si="13"/>
        <v>1127</v>
      </c>
      <c r="J30" s="1">
        <f t="shared" si="13"/>
        <v>984</v>
      </c>
      <c r="K30" s="1">
        <f t="shared" si="13"/>
        <v>128</v>
      </c>
      <c r="L30" s="1">
        <f t="shared" si="13"/>
        <v>4303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F639-BE17-4E6D-A95B-89DF25ADCFD2}">
  <dimension ref="A1:O30"/>
  <sheetViews>
    <sheetView topLeftCell="J1" workbookViewId="0">
      <selection sqref="A1:O1048576"/>
    </sheetView>
  </sheetViews>
  <sheetFormatPr defaultRowHeight="14.5" x14ac:dyDescent="0.35"/>
  <cols>
    <col min="1" max="1" width="27.1796875" bestFit="1" customWidth="1"/>
    <col min="2" max="2" width="8.6328125" customWidth="1"/>
    <col min="3" max="3" width="8.81640625" customWidth="1"/>
    <col min="4" max="4" width="10.90625" bestFit="1" customWidth="1"/>
    <col min="5" max="5" width="10.453125" bestFit="1" customWidth="1"/>
    <col min="6" max="6" width="7.54296875" customWidth="1"/>
    <col min="7" max="7" width="8.36328125" customWidth="1"/>
    <col min="8" max="8" width="12.81640625" customWidth="1"/>
    <col min="9" max="9" width="16.81640625" bestFit="1" customWidth="1"/>
    <col min="10" max="10" width="11" bestFit="1" customWidth="1"/>
    <col min="11" max="11" width="9.90625" bestFit="1" customWidth="1"/>
    <col min="12" max="12" width="11.36328125" bestFit="1" customWidth="1"/>
  </cols>
  <sheetData>
    <row r="1" spans="1:15" x14ac:dyDescent="0.35">
      <c r="B1" t="str">
        <f>Sheet1!B1</f>
        <v>Coal</v>
      </c>
      <c r="C1" t="str">
        <f>Sheet1!C1</f>
        <v>Crude oil</v>
      </c>
      <c r="D1" t="str">
        <f>Sheet1!D1</f>
        <v>Oil products</v>
      </c>
      <c r="E1" t="str">
        <f>Sheet1!E1</f>
        <v>Natural gas</v>
      </c>
      <c r="F1" t="str">
        <f>Sheet1!F1</f>
        <v>Nuclear</v>
      </c>
      <c r="G1" t="str">
        <f>Sheet1!G1</f>
        <v>Hidro</v>
      </c>
      <c r="H1" t="str">
        <f>Sheet1!H1</f>
        <v>Wind, solar,etc</v>
      </c>
      <c r="I1" t="str">
        <f>Sheet1!I1</f>
        <v>Biofuels and waste</v>
      </c>
      <c r="J1" t="str">
        <f>Sheet1!J1</f>
        <v>Electricity</v>
      </c>
      <c r="K1" t="str">
        <f>Sheet1!K1</f>
        <v>Heat</v>
      </c>
      <c r="L1" t="str">
        <f>Sheet1!L1</f>
        <v>Total</v>
      </c>
    </row>
    <row r="2" spans="1:15" x14ac:dyDescent="0.35">
      <c r="A2" t="str">
        <f>Sheet1!A2</f>
        <v>Production</v>
      </c>
      <c r="B2" s="6">
        <f>Sheet1!B2*41868/10^6</f>
        <v>153.19501199999999</v>
      </c>
      <c r="C2" s="6">
        <f>Sheet1!C2*41868/10^6</f>
        <v>0</v>
      </c>
      <c r="D2" s="6">
        <f>Sheet1!D2*41868/10^6</f>
        <v>0</v>
      </c>
      <c r="E2" s="6">
        <f>Sheet1!E2*41868/10^6</f>
        <v>0</v>
      </c>
      <c r="F2" s="6">
        <f>Sheet1!F2*41868/10^6</f>
        <v>0</v>
      </c>
      <c r="G2" s="6">
        <f>Sheet1!G2*41868/10^6</f>
        <v>23.111135999999998</v>
      </c>
      <c r="H2" s="6">
        <f>Sheet1!H2*41868/10^6</f>
        <v>0.46054800000000001</v>
      </c>
      <c r="I2" s="6">
        <f>Sheet1!I2*41868/10^6</f>
        <v>60.750467999999998</v>
      </c>
      <c r="J2" s="6">
        <f>Sheet1!J2*41868/10^6</f>
        <v>0</v>
      </c>
      <c r="K2" s="6">
        <f>Sheet1!K2*41868/10^6</f>
        <v>0</v>
      </c>
      <c r="L2" s="6">
        <f>Sheet1!L2*41868/10^6</f>
        <v>237.51716400000001</v>
      </c>
    </row>
    <row r="3" spans="1:15" x14ac:dyDescent="0.35">
      <c r="A3" t="str">
        <f>Sheet1!A3</f>
        <v>Imports</v>
      </c>
      <c r="B3" s="6">
        <f>Sheet1!B3*41868/10^6</f>
        <v>44.547552000000003</v>
      </c>
      <c r="C3" s="6">
        <f>Sheet1!C3*41868/10^6</f>
        <v>29.684411999999998</v>
      </c>
      <c r="D3" s="6">
        <f>Sheet1!D3*41868/10^6</f>
        <v>48.315671999999999</v>
      </c>
      <c r="E3" s="6">
        <f>Sheet1!E3*41868/10^6</f>
        <v>8.3317320000000006</v>
      </c>
      <c r="F3" s="6">
        <f>Sheet1!F3*41868/10^6</f>
        <v>0</v>
      </c>
      <c r="G3" s="6">
        <f>Sheet1!G3*41868/10^6</f>
        <v>0</v>
      </c>
      <c r="H3" s="6">
        <f>Sheet1!H3*41868/10^6</f>
        <v>0</v>
      </c>
      <c r="I3" s="6">
        <f>Sheet1!I3*41868/10^6</f>
        <v>0.25120799999999999</v>
      </c>
      <c r="J3" s="6">
        <f>Sheet1!J3*41868/10^6</f>
        <v>11.136888000000001</v>
      </c>
      <c r="K3" s="6">
        <f>Sheet1!K3*41868/10^6</f>
        <v>0</v>
      </c>
      <c r="L3" s="6">
        <f>Sheet1!L3*41868/10^6</f>
        <v>142.26746399999999</v>
      </c>
    </row>
    <row r="4" spans="1:15" x14ac:dyDescent="0.35">
      <c r="A4" t="str">
        <f>Sheet1!A4</f>
        <v>Exports</v>
      </c>
      <c r="B4" s="6">
        <f>Sheet1!B4*41868/10^6</f>
        <v>-18.212579999999999</v>
      </c>
      <c r="C4" s="6">
        <f>Sheet1!C4*41868/10^6</f>
        <v>0</v>
      </c>
      <c r="D4" s="6">
        <f>Sheet1!D4*41868/10^6</f>
        <v>-9.4202999999999992</v>
      </c>
      <c r="E4" s="6">
        <f>Sheet1!E4*41868/10^6</f>
        <v>0</v>
      </c>
      <c r="F4" s="6">
        <f>Sheet1!F4*41868/10^6</f>
        <v>0</v>
      </c>
      <c r="G4" s="6">
        <f>Sheet1!G4*41868/10^6</f>
        <v>0</v>
      </c>
      <c r="H4" s="6">
        <f>Sheet1!H4*41868/10^6</f>
        <v>0</v>
      </c>
      <c r="I4" s="6">
        <f>Sheet1!I4*41868/10^6</f>
        <v>-11.09502</v>
      </c>
      <c r="J4" s="6">
        <f>Sheet1!J4*41868/10^6</f>
        <v>-27.716615999999998</v>
      </c>
      <c r="K4" s="6">
        <f>Sheet1!K4*41868/10^6</f>
        <v>0</v>
      </c>
      <c r="L4" s="6">
        <f>Sheet1!L4*41868/10^6</f>
        <v>-66.444515999999993</v>
      </c>
    </row>
    <row r="5" spans="1:15" x14ac:dyDescent="0.35">
      <c r="A5" t="str">
        <f>Sheet1!A5</f>
        <v>International marine bunkers</v>
      </c>
      <c r="B5" s="6">
        <f>Sheet1!B5*41868/10^6</f>
        <v>0</v>
      </c>
      <c r="C5" s="6">
        <f>Sheet1!C5*41868/10^6</f>
        <v>0</v>
      </c>
      <c r="D5" s="6">
        <f>Sheet1!D5*41868/10^6</f>
        <v>0</v>
      </c>
      <c r="E5" s="6">
        <f>Sheet1!E5*41868/10^6</f>
        <v>0</v>
      </c>
      <c r="F5" s="6">
        <f>Sheet1!F5*41868/10^6</f>
        <v>0</v>
      </c>
      <c r="G5" s="6">
        <f>Sheet1!G5*41868/10^6</f>
        <v>0</v>
      </c>
      <c r="H5" s="6">
        <f>Sheet1!H5*41868/10^6</f>
        <v>0</v>
      </c>
      <c r="I5" s="6">
        <f>Sheet1!I5*41868/10^6</f>
        <v>0</v>
      </c>
      <c r="J5" s="6">
        <f>Sheet1!J5*41868/10^6</f>
        <v>0</v>
      </c>
      <c r="K5" s="6">
        <f>Sheet1!K5*41868/10^6</f>
        <v>0</v>
      </c>
      <c r="L5" s="6">
        <f>Sheet1!L5*41868/10^6</f>
        <v>0</v>
      </c>
    </row>
    <row r="6" spans="1:15" x14ac:dyDescent="0.35">
      <c r="A6" t="str">
        <f>Sheet1!A6</f>
        <v>International aviation bunkers</v>
      </c>
      <c r="B6" s="6">
        <f>Sheet1!B6*41868/10^6</f>
        <v>0</v>
      </c>
      <c r="C6" s="6">
        <f>Sheet1!C6*41868/10^6</f>
        <v>0</v>
      </c>
      <c r="D6" s="6">
        <f>Sheet1!D6*41868/10^6</f>
        <v>-0.33494400000000002</v>
      </c>
      <c r="E6" s="6">
        <f>Sheet1!E6*41868/10^6</f>
        <v>0</v>
      </c>
      <c r="F6" s="6">
        <f>Sheet1!F6*41868/10^6</f>
        <v>0</v>
      </c>
      <c r="G6" s="6">
        <f>Sheet1!G6*41868/10^6</f>
        <v>0</v>
      </c>
      <c r="H6" s="6">
        <f>Sheet1!H6*41868/10^6</f>
        <v>0</v>
      </c>
      <c r="I6" s="6">
        <f>Sheet1!I6*41868/10^6</f>
        <v>0</v>
      </c>
      <c r="J6" s="6">
        <f>Sheet1!J6*41868/10^6</f>
        <v>0</v>
      </c>
      <c r="K6" s="6">
        <f>Sheet1!K6*41868/10^6</f>
        <v>0</v>
      </c>
      <c r="L6" s="6">
        <f>Sheet1!L6*41868/10^6</f>
        <v>-0.33494400000000002</v>
      </c>
    </row>
    <row r="7" spans="1:15" x14ac:dyDescent="0.35">
      <c r="A7" t="str">
        <f>Sheet1!A7</f>
        <v>Stock changes</v>
      </c>
      <c r="B7" s="6">
        <f>Sheet1!B7*41868/10^6</f>
        <v>-2.4283440000000001</v>
      </c>
      <c r="C7" s="6">
        <f>Sheet1!C7*41868/10^6</f>
        <v>0.58615200000000001</v>
      </c>
      <c r="D7" s="6">
        <f>Sheet1!D7*41868/10^6</f>
        <v>1.5072479999999999</v>
      </c>
      <c r="E7" s="6">
        <f>Sheet1!E7*41868/10^6</f>
        <v>0</v>
      </c>
      <c r="F7" s="6">
        <f>Sheet1!F7*41868/10^6</f>
        <v>0</v>
      </c>
      <c r="G7" s="6">
        <f>Sheet1!G7*41868/10^6</f>
        <v>0</v>
      </c>
      <c r="H7" s="6">
        <f>Sheet1!H7*41868/10^6</f>
        <v>0</v>
      </c>
      <c r="I7" s="6">
        <f>Sheet1!I7*41868/10^6</f>
        <v>0</v>
      </c>
      <c r="J7" s="6">
        <f>Sheet1!J7*41868/10^6</f>
        <v>0</v>
      </c>
      <c r="K7" s="6">
        <f>Sheet1!K7*41868/10^6</f>
        <v>0</v>
      </c>
      <c r="L7" s="6">
        <f>Sheet1!L7*41868/10^6</f>
        <v>-0.33494400000000002</v>
      </c>
    </row>
    <row r="8" spans="1:15" x14ac:dyDescent="0.35">
      <c r="A8" s="4" t="str">
        <f>Sheet1!A8</f>
        <v>TES</v>
      </c>
      <c r="B8" s="7">
        <f>Sheet1!B8*41868/10^6</f>
        <v>177.10164</v>
      </c>
      <c r="C8" s="7">
        <f>Sheet1!C8*41868/10^6</f>
        <v>30.270564</v>
      </c>
      <c r="D8" s="7">
        <f>Sheet1!D8*41868/10^6</f>
        <v>40.067675999999999</v>
      </c>
      <c r="E8" s="7">
        <f>Sheet1!E8*41868/10^6</f>
        <v>8.3317320000000006</v>
      </c>
      <c r="F8" s="7">
        <f>Sheet1!F8*41868/10^6</f>
        <v>0</v>
      </c>
      <c r="G8" s="7">
        <f>Sheet1!G8*41868/10^6</f>
        <v>23.111135999999998</v>
      </c>
      <c r="H8" s="7">
        <f>Sheet1!H8*41868/10^6</f>
        <v>0.46054800000000001</v>
      </c>
      <c r="I8" s="7">
        <f>Sheet1!I8*41868/10^6</f>
        <v>49.906655999999998</v>
      </c>
      <c r="J8" s="7">
        <f>Sheet1!J8*41868/10^6</f>
        <v>-16.579727999999999</v>
      </c>
      <c r="K8" s="7">
        <f>Sheet1!K8*41868/10^6</f>
        <v>0</v>
      </c>
      <c r="L8" s="7">
        <f>Sheet1!L8*41868/10^6</f>
        <v>312.67022400000002</v>
      </c>
      <c r="M8" s="4">
        <f>Sheet1!M8*41868/10^6</f>
        <v>312.67022400000002</v>
      </c>
    </row>
    <row r="9" spans="1:15" x14ac:dyDescent="0.35">
      <c r="A9" t="str">
        <f>Sheet1!A9</f>
        <v>Transfers</v>
      </c>
      <c r="B9" s="6">
        <f>Sheet1!B9*41868/10^6</f>
        <v>0</v>
      </c>
      <c r="C9" s="6">
        <f>Sheet1!C9*41868/10^6</f>
        <v>0</v>
      </c>
      <c r="D9" s="6">
        <f>Sheet1!D9*41868/10^6</f>
        <v>0</v>
      </c>
      <c r="E9" s="6">
        <f>Sheet1!E9*41868/10^6</f>
        <v>0</v>
      </c>
      <c r="F9" s="6">
        <f>Sheet1!F9*41868/10^6</f>
        <v>0</v>
      </c>
      <c r="G9" s="6">
        <f>Sheet1!G9*41868/10^6</f>
        <v>0</v>
      </c>
      <c r="H9" s="6">
        <f>Sheet1!H9*41868/10^6</f>
        <v>0</v>
      </c>
      <c r="I9" s="6">
        <f>Sheet1!I9*41868/10^6</f>
        <v>0</v>
      </c>
      <c r="J9" s="6">
        <f>Sheet1!J9*41868/10^6</f>
        <v>0</v>
      </c>
      <c r="K9" s="6">
        <f>Sheet1!K9*41868/10^6</f>
        <v>0</v>
      </c>
      <c r="L9" s="6">
        <f>Sheet1!L9*41868/10^6</f>
        <v>0</v>
      </c>
    </row>
    <row r="10" spans="1:15" x14ac:dyDescent="0.35">
      <c r="A10" t="str">
        <f>Sheet1!A10</f>
        <v>Statistical differences</v>
      </c>
      <c r="B10" s="6">
        <f>Sheet1!B10*41868/10^6</f>
        <v>0</v>
      </c>
      <c r="C10" s="6">
        <f>Sheet1!C10*41868/10^6</f>
        <v>0</v>
      </c>
      <c r="D10" s="6">
        <f>Sheet1!D10*41868/10^6</f>
        <v>0</v>
      </c>
      <c r="E10" s="6">
        <f>Sheet1!E10*41868/10^6</f>
        <v>0</v>
      </c>
      <c r="F10" s="6">
        <f>Sheet1!F10*41868/10^6</f>
        <v>0</v>
      </c>
      <c r="G10" s="6">
        <f>Sheet1!G10*41868/10^6</f>
        <v>0</v>
      </c>
      <c r="H10" s="6">
        <f>Sheet1!H10*41868/10^6</f>
        <v>0</v>
      </c>
      <c r="I10" s="6">
        <f>Sheet1!I10*41868/10^6</f>
        <v>0</v>
      </c>
      <c r="J10" s="6">
        <f>Sheet1!J10*41868/10^6</f>
        <v>0</v>
      </c>
      <c r="K10" s="6">
        <f>Sheet1!K10*41868/10^6</f>
        <v>0</v>
      </c>
      <c r="L10" s="6">
        <f>Sheet1!L10*41868/10^6</f>
        <v>0</v>
      </c>
    </row>
    <row r="11" spans="1:15" x14ac:dyDescent="0.35">
      <c r="A11" t="str">
        <f>Sheet1!A11</f>
        <v>Electricity plants</v>
      </c>
      <c r="B11" s="6">
        <f>Sheet1!B11*41868/10^6</f>
        <v>-135.86166</v>
      </c>
      <c r="C11" s="6">
        <f>Sheet1!C11*41868/10^6</f>
        <v>0</v>
      </c>
      <c r="D11" s="6">
        <f>Sheet1!D11*41868/10^6</f>
        <v>-0.46054800000000001</v>
      </c>
      <c r="E11" s="6">
        <f>Sheet1!E11*41868/10^6</f>
        <v>-0.25120799999999999</v>
      </c>
      <c r="F11" s="6">
        <f>Sheet1!F11*41868/10^6</f>
        <v>0</v>
      </c>
      <c r="G11" s="6">
        <f>Sheet1!G11*41868/10^6</f>
        <v>-23.111135999999998</v>
      </c>
      <c r="H11" s="6">
        <f>Sheet1!H11*41868/10^6</f>
        <v>-0.46054800000000001</v>
      </c>
      <c r="I11" s="6">
        <f>Sheet1!I11*41868/10^6</f>
        <v>-8.3736000000000005E-2</v>
      </c>
      <c r="J11" s="6">
        <f>Sheet1!J11*41868/10^6</f>
        <v>67.826160000000002</v>
      </c>
      <c r="K11" s="6">
        <f>Sheet1!K11*41868/10^6</f>
        <v>0</v>
      </c>
      <c r="L11" s="6">
        <f>Sheet1!L11*41868/10^6</f>
        <v>-92.402676</v>
      </c>
    </row>
    <row r="12" spans="1:15" x14ac:dyDescent="0.35">
      <c r="A12" t="str">
        <f>Sheet1!A12</f>
        <v>CHP plants</v>
      </c>
      <c r="B12" s="6">
        <f>Sheet1!B12*41868/10^6</f>
        <v>-3.516912</v>
      </c>
      <c r="C12" s="6">
        <f>Sheet1!C12*41868/10^6</f>
        <v>0</v>
      </c>
      <c r="D12" s="6">
        <f>Sheet1!D12*41868/10^6</f>
        <v>0</v>
      </c>
      <c r="E12" s="6">
        <f>Sheet1!E12*41868/10^6</f>
        <v>0</v>
      </c>
      <c r="F12" s="6">
        <f>Sheet1!F12*41868/10^6</f>
        <v>0</v>
      </c>
      <c r="G12" s="6">
        <f>Sheet1!G12*41868/10^6</f>
        <v>0</v>
      </c>
      <c r="H12" s="6">
        <f>Sheet1!H12*41868/10^6</f>
        <v>0</v>
      </c>
      <c r="I12" s="6">
        <f>Sheet1!I12*41868/10^6</f>
        <v>-0.20934</v>
      </c>
      <c r="J12" s="6">
        <f>Sheet1!J12*41868/10^6</f>
        <v>0.79549199999999998</v>
      </c>
      <c r="K12" s="6">
        <f>Sheet1!K12*41868/10^6</f>
        <v>1.758456</v>
      </c>
      <c r="L12" s="6">
        <f>Sheet1!L12*41868/10^6</f>
        <v>-1.172304</v>
      </c>
    </row>
    <row r="13" spans="1:15" x14ac:dyDescent="0.35">
      <c r="A13" t="str">
        <f>Sheet1!A13</f>
        <v>Heat plants</v>
      </c>
      <c r="B13" s="6">
        <f>Sheet1!B13*41868/10^6</f>
        <v>-2.344608</v>
      </c>
      <c r="C13" s="6">
        <f>Sheet1!C13*41868/10^6</f>
        <v>0</v>
      </c>
      <c r="D13" s="6">
        <f>Sheet1!D13*41868/10^6</f>
        <v>-0.33494400000000002</v>
      </c>
      <c r="E13" s="6">
        <f>Sheet1!E13*41868/10^6</f>
        <v>-1.8421920000000001</v>
      </c>
      <c r="F13" s="6">
        <f>Sheet1!F13*41868/10^6</f>
        <v>0</v>
      </c>
      <c r="G13" s="6">
        <f>Sheet1!G13*41868/10^6</f>
        <v>0</v>
      </c>
      <c r="H13" s="6">
        <f>Sheet1!H13*41868/10^6</f>
        <v>0</v>
      </c>
      <c r="I13" s="6">
        <f>Sheet1!I13*41868/10^6</f>
        <v>-1.088568</v>
      </c>
      <c r="J13" s="6">
        <f>Sheet1!J13*41868/10^6</f>
        <v>0</v>
      </c>
      <c r="K13" s="6">
        <f>Sheet1!K13*41868/10^6</f>
        <v>4.0193279999999998</v>
      </c>
      <c r="L13" s="6">
        <f>Sheet1!L13*41868/10^6</f>
        <v>-1.590984</v>
      </c>
    </row>
    <row r="14" spans="1:15" x14ac:dyDescent="0.35">
      <c r="A14" t="str">
        <f>Sheet1!A14</f>
        <v>Gas works</v>
      </c>
      <c r="B14" s="6">
        <f>Sheet1!B14*41868/10^6</f>
        <v>0</v>
      </c>
      <c r="C14" s="6">
        <f>Sheet1!C14*41868/10^6</f>
        <v>0</v>
      </c>
      <c r="D14" s="6">
        <f>Sheet1!D14*41868/10^6</f>
        <v>0</v>
      </c>
      <c r="E14" s="6">
        <f>Sheet1!E14*41868/10^6</f>
        <v>0</v>
      </c>
      <c r="F14" s="6">
        <f>Sheet1!F14*41868/10^6</f>
        <v>0</v>
      </c>
      <c r="G14" s="6">
        <f>Sheet1!G14*41868/10^6</f>
        <v>0</v>
      </c>
      <c r="H14" s="6">
        <f>Sheet1!H14*41868/10^6</f>
        <v>0</v>
      </c>
      <c r="I14" s="6">
        <f>Sheet1!I14*41868/10^6</f>
        <v>0</v>
      </c>
      <c r="J14" s="6">
        <f>Sheet1!J14*41868/10^6</f>
        <v>0</v>
      </c>
      <c r="K14" s="6">
        <f>Sheet1!K14*41868/10^6</f>
        <v>0</v>
      </c>
      <c r="L14" s="6">
        <f>Sheet1!L14*41868/10^6</f>
        <v>0</v>
      </c>
      <c r="O14" s="6">
        <f>K12+K13</f>
        <v>5.7777839999999996</v>
      </c>
    </row>
    <row r="15" spans="1:15" x14ac:dyDescent="0.35">
      <c r="A15" t="str">
        <f>Sheet1!A15</f>
        <v>Oil refineries</v>
      </c>
      <c r="B15" s="6">
        <f>Sheet1!B15*41868/10^6</f>
        <v>0</v>
      </c>
      <c r="C15" s="6">
        <f>Sheet1!C15*41868/10^6</f>
        <v>-30.270564</v>
      </c>
      <c r="D15" s="6">
        <f>Sheet1!D15*41868/10^6</f>
        <v>29.475072000000001</v>
      </c>
      <c r="E15" s="6">
        <f>Sheet1!E15*41868/10^6</f>
        <v>0</v>
      </c>
      <c r="F15" s="6">
        <f>Sheet1!F15*41868/10^6</f>
        <v>0</v>
      </c>
      <c r="G15" s="6">
        <f>Sheet1!G15*41868/10^6</f>
        <v>0</v>
      </c>
      <c r="H15" s="6">
        <f>Sheet1!H15*41868/10^6</f>
        <v>0</v>
      </c>
      <c r="I15" s="6">
        <f>Sheet1!I15*41868/10^6</f>
        <v>0</v>
      </c>
      <c r="J15" s="6">
        <f>Sheet1!J15*41868/10^6</f>
        <v>0</v>
      </c>
      <c r="K15" s="6">
        <f>Sheet1!K15*41868/10^6</f>
        <v>0</v>
      </c>
      <c r="L15" s="6">
        <f>Sheet1!L15*41868/10^6</f>
        <v>-0.79549199999999998</v>
      </c>
    </row>
    <row r="16" spans="1:15" x14ac:dyDescent="0.35">
      <c r="A16" t="str">
        <f>Sheet1!A16</f>
        <v>Coal transformation</v>
      </c>
      <c r="B16" s="6">
        <f>Sheet1!B16*41868/10^6</f>
        <v>-12.141719999999999</v>
      </c>
      <c r="C16" s="6">
        <f>Sheet1!C16*41868/10^6</f>
        <v>0</v>
      </c>
      <c r="D16" s="6">
        <f>Sheet1!D16*41868/10^6</f>
        <v>0</v>
      </c>
      <c r="E16" s="6">
        <f>Sheet1!E16*41868/10^6</f>
        <v>0</v>
      </c>
      <c r="F16" s="6">
        <f>Sheet1!F16*41868/10^6</f>
        <v>0</v>
      </c>
      <c r="G16" s="6">
        <f>Sheet1!G16*41868/10^6</f>
        <v>0</v>
      </c>
      <c r="H16" s="6">
        <f>Sheet1!H16*41868/10^6</f>
        <v>0</v>
      </c>
      <c r="I16" s="6">
        <f>Sheet1!I16*41868/10^6</f>
        <v>0</v>
      </c>
      <c r="J16" s="6">
        <f>Sheet1!J16*41868/10^6</f>
        <v>0</v>
      </c>
      <c r="K16" s="6">
        <f>Sheet1!K16*41868/10^6</f>
        <v>0</v>
      </c>
      <c r="L16" s="6">
        <f>Sheet1!L16*41868/10^6</f>
        <v>-12.141719999999999</v>
      </c>
    </row>
    <row r="17" spans="1:13" x14ac:dyDescent="0.35">
      <c r="A17" t="str">
        <f>Sheet1!A17</f>
        <v>Liquefication plants</v>
      </c>
      <c r="B17" s="6">
        <f>Sheet1!B17*41868/10^6</f>
        <v>0</v>
      </c>
      <c r="C17" s="6">
        <f>Sheet1!C17*41868/10^6</f>
        <v>0</v>
      </c>
      <c r="D17" s="6">
        <f>Sheet1!D17*41868/10^6</f>
        <v>0</v>
      </c>
      <c r="E17" s="6">
        <f>Sheet1!E17*41868/10^6</f>
        <v>0</v>
      </c>
      <c r="F17" s="6">
        <f>Sheet1!F17*41868/10^6</f>
        <v>0</v>
      </c>
      <c r="G17" s="6">
        <f>Sheet1!G17*41868/10^6</f>
        <v>0</v>
      </c>
      <c r="H17" s="6">
        <f>Sheet1!H17*41868/10^6</f>
        <v>0</v>
      </c>
      <c r="I17" s="6">
        <f>Sheet1!I17*41868/10^6</f>
        <v>0</v>
      </c>
      <c r="J17" s="6">
        <f>Sheet1!J17*41868/10^6</f>
        <v>0</v>
      </c>
      <c r="K17" s="6">
        <f>Sheet1!K17*41868/10^6</f>
        <v>0</v>
      </c>
      <c r="L17" s="6">
        <f>Sheet1!L17*41868/10^6</f>
        <v>0</v>
      </c>
    </row>
    <row r="18" spans="1:13" x14ac:dyDescent="0.35">
      <c r="A18" t="str">
        <f>Sheet1!A18</f>
        <v>Other transformation</v>
      </c>
      <c r="B18" s="6">
        <f>Sheet1!B18*41868/10^6</f>
        <v>0</v>
      </c>
      <c r="C18" s="6">
        <f>Sheet1!C18*41868/10^6</f>
        <v>0</v>
      </c>
      <c r="D18" s="6">
        <f>Sheet1!D18*41868/10^6</f>
        <v>0</v>
      </c>
      <c r="E18" s="6">
        <f>Sheet1!E18*41868/10^6</f>
        <v>0</v>
      </c>
      <c r="F18" s="6">
        <f>Sheet1!F18*41868/10^6</f>
        <v>0</v>
      </c>
      <c r="G18" s="6">
        <f>Sheet1!G18*41868/10^6</f>
        <v>0</v>
      </c>
      <c r="H18" s="6">
        <f>Sheet1!H18*41868/10^6</f>
        <v>0</v>
      </c>
      <c r="I18" s="6">
        <f>Sheet1!I18*41868/10^6</f>
        <v>-1.3397760000000001</v>
      </c>
      <c r="J18" s="6">
        <f>Sheet1!J18*41868/10^6</f>
        <v>0</v>
      </c>
      <c r="K18" s="6">
        <f>Sheet1!K18*41868/10^6</f>
        <v>0</v>
      </c>
      <c r="L18" s="6">
        <f>Sheet1!L18*41868/10^6</f>
        <v>-1.3397760000000001</v>
      </c>
    </row>
    <row r="19" spans="1:13" x14ac:dyDescent="0.35">
      <c r="A19" t="str">
        <f>Sheet1!A19</f>
        <v>Energy industry own use</v>
      </c>
      <c r="B19" s="6">
        <f>Sheet1!B19*41868/10^6</f>
        <v>-6.9919560000000001</v>
      </c>
      <c r="C19" s="6">
        <f>Sheet1!C19*41868/10^6</f>
        <v>0</v>
      </c>
      <c r="D19" s="6">
        <f>Sheet1!D19*41868/10^6</f>
        <v>-4.8566880000000001</v>
      </c>
      <c r="E19" s="6">
        <f>Sheet1!E19*41868/10^6</f>
        <v>0</v>
      </c>
      <c r="F19" s="6">
        <f>Sheet1!F19*41868/10^6</f>
        <v>0</v>
      </c>
      <c r="G19" s="6">
        <f>Sheet1!G19*41868/10^6</f>
        <v>0</v>
      </c>
      <c r="H19" s="6">
        <f>Sheet1!H19*41868/10^6</f>
        <v>0</v>
      </c>
      <c r="I19" s="6">
        <f>Sheet1!I19*41868/10^6</f>
        <v>0</v>
      </c>
      <c r="J19" s="6">
        <f>Sheet1!J19*41868/10^6</f>
        <v>-5.9452559999999997</v>
      </c>
      <c r="K19" s="6">
        <f>Sheet1!K19*41868/10^6</f>
        <v>-4.1868000000000002E-2</v>
      </c>
      <c r="L19" s="6">
        <f>Sheet1!L19*41868/10^6</f>
        <v>-17.835768000000002</v>
      </c>
    </row>
    <row r="20" spans="1:13" x14ac:dyDescent="0.35">
      <c r="A20" t="str">
        <f>Sheet1!A20</f>
        <v>Losses</v>
      </c>
      <c r="B20" s="6">
        <f>Sheet1!B20*41868/10^6</f>
        <v>0</v>
      </c>
      <c r="C20" s="6">
        <f>Sheet1!C20*41868/10^6</f>
        <v>0</v>
      </c>
      <c r="D20" s="6">
        <f>Sheet1!D20*41868/10^6</f>
        <v>0</v>
      </c>
      <c r="E20" s="6">
        <f>Sheet1!E20*41868/10^6</f>
        <v>-4.1868000000000002E-2</v>
      </c>
      <c r="F20" s="6">
        <f>Sheet1!F20*41868/10^6</f>
        <v>0</v>
      </c>
      <c r="G20" s="6">
        <f>Sheet1!G20*41868/10^6</f>
        <v>0</v>
      </c>
      <c r="H20" s="6">
        <f>Sheet1!H20*41868/10^6</f>
        <v>0</v>
      </c>
      <c r="I20" s="6">
        <f>Sheet1!I20*41868/10^6</f>
        <v>0</v>
      </c>
      <c r="J20" s="6">
        <f>Sheet1!J20*41868/10^6</f>
        <v>-4.8566880000000001</v>
      </c>
      <c r="K20" s="6">
        <f>Sheet1!K20*41868/10^6</f>
        <v>-0.41868</v>
      </c>
      <c r="L20" s="6">
        <f>Sheet1!L20*41868/10^6</f>
        <v>-5.3172360000000003</v>
      </c>
    </row>
    <row r="21" spans="1:13" x14ac:dyDescent="0.35">
      <c r="A21" s="4" t="str">
        <f>Sheet1!A21</f>
        <v>Total final consumption</v>
      </c>
      <c r="B21" s="7">
        <f>Sheet1!B21*41868/10^6</f>
        <v>16.244783999999999</v>
      </c>
      <c r="C21" s="7">
        <f>Sheet1!C21*41868/10^6</f>
        <v>0</v>
      </c>
      <c r="D21" s="7">
        <f>Sheet1!D21*41868/10^6</f>
        <v>63.890568000000002</v>
      </c>
      <c r="E21" s="7">
        <f>Sheet1!E21*41868/10^6</f>
        <v>6.1964639999999997</v>
      </c>
      <c r="F21" s="7">
        <f>Sheet1!F21*41868/10^6</f>
        <v>0</v>
      </c>
      <c r="G21" s="7">
        <f>Sheet1!G21*41868/10^6</f>
        <v>0</v>
      </c>
      <c r="H21" s="7">
        <f>Sheet1!H21*41868/10^6</f>
        <v>0</v>
      </c>
      <c r="I21" s="7">
        <f>Sheet1!I21*41868/10^6</f>
        <v>47.185236000000003</v>
      </c>
      <c r="J21" s="7">
        <f>Sheet1!J21*41868/10^6</f>
        <v>41.239980000000003</v>
      </c>
      <c r="K21" s="7">
        <f>Sheet1!K21*41868/10^6</f>
        <v>5.3172360000000003</v>
      </c>
      <c r="L21" s="7">
        <f>Sheet1!L21*41868/10^6</f>
        <v>180.07426799999999</v>
      </c>
      <c r="M21" s="4">
        <f>Sheet1!M21*41868/10^6</f>
        <v>180.07426799999999</v>
      </c>
    </row>
    <row r="22" spans="1:13" x14ac:dyDescent="0.35">
      <c r="A22" t="str">
        <f>Sheet1!A22</f>
        <v>Industry</v>
      </c>
      <c r="B22" s="6">
        <f>Sheet1!B22*41868/10^6</f>
        <v>11.011284</v>
      </c>
      <c r="C22" s="6">
        <f>Sheet1!C22*41868/10^6</f>
        <v>0</v>
      </c>
      <c r="D22" s="6">
        <f>Sheet1!D22*41868/10^6</f>
        <v>5.0241600000000002</v>
      </c>
      <c r="E22" s="6">
        <f>Sheet1!E22*41868/10^6</f>
        <v>3.6425160000000001</v>
      </c>
      <c r="F22" s="6">
        <f>Sheet1!F22*41868/10^6</f>
        <v>0</v>
      </c>
      <c r="G22" s="6">
        <f>Sheet1!G22*41868/10^6</f>
        <v>0</v>
      </c>
      <c r="H22" s="6">
        <f>Sheet1!H22*41868/10^6</f>
        <v>0</v>
      </c>
      <c r="I22" s="6">
        <f>Sheet1!I22*41868/10^6</f>
        <v>0.71175600000000006</v>
      </c>
      <c r="J22" s="6">
        <f>Sheet1!J22*41868/10^6</f>
        <v>15.7005</v>
      </c>
      <c r="K22" s="6">
        <f>Sheet1!K22*41868/10^6</f>
        <v>4.1868000000000002E-2</v>
      </c>
      <c r="L22" s="6">
        <f>Sheet1!L22*41868/10^6</f>
        <v>36.132083999999999</v>
      </c>
    </row>
    <row r="23" spans="1:13" x14ac:dyDescent="0.35">
      <c r="A23" t="str">
        <f>Sheet1!A23</f>
        <v>Transport</v>
      </c>
      <c r="B23" s="6">
        <f>Sheet1!B23*41868/10^6</f>
        <v>0</v>
      </c>
      <c r="C23" s="6">
        <f>Sheet1!C23*41868/10^6</f>
        <v>0</v>
      </c>
      <c r="D23" s="6">
        <f>Sheet1!D23*41868/10^6</f>
        <v>51.2883</v>
      </c>
      <c r="E23" s="6">
        <f>Sheet1!E23*41868/10^6</f>
        <v>8.3736000000000005E-2</v>
      </c>
      <c r="F23" s="6">
        <f>Sheet1!F23*41868/10^6</f>
        <v>0</v>
      </c>
      <c r="G23" s="6">
        <f>Sheet1!G23*41868/10^6</f>
        <v>0</v>
      </c>
      <c r="H23" s="6">
        <f>Sheet1!H23*41868/10^6</f>
        <v>0</v>
      </c>
      <c r="I23" s="6">
        <f>Sheet1!I23*41868/10^6</f>
        <v>0</v>
      </c>
      <c r="J23" s="6">
        <f>Sheet1!J23*41868/10^6</f>
        <v>0.20934</v>
      </c>
      <c r="K23" s="6">
        <f>Sheet1!K23*41868/10^6</f>
        <v>0</v>
      </c>
      <c r="L23" s="6">
        <f>Sheet1!L23*41868/10^6</f>
        <v>51.581375999999999</v>
      </c>
    </row>
    <row r="24" spans="1:13" x14ac:dyDescent="0.35">
      <c r="A24" t="str">
        <f>Sheet1!A24</f>
        <v>Residential</v>
      </c>
      <c r="B24" s="6">
        <f>Sheet1!B24*41868/10^6</f>
        <v>3.2238359999999999</v>
      </c>
      <c r="C24" s="6">
        <f>Sheet1!C24*41868/10^6</f>
        <v>0</v>
      </c>
      <c r="D24" s="6">
        <f>Sheet1!D24*41868/10^6</f>
        <v>1.088568</v>
      </c>
      <c r="E24" s="6">
        <f>Sheet1!E24*41868/10^6</f>
        <v>1.5072479999999999</v>
      </c>
      <c r="F24" s="6">
        <f>Sheet1!F24*41868/10^6</f>
        <v>0</v>
      </c>
      <c r="G24" s="6">
        <f>Sheet1!G24*41868/10^6</f>
        <v>0</v>
      </c>
      <c r="H24" s="6">
        <f>Sheet1!H24*41868/10^6</f>
        <v>0</v>
      </c>
      <c r="I24" s="6">
        <f>Sheet1!I24*41868/10^6</f>
        <v>45.343043999999999</v>
      </c>
      <c r="J24" s="6">
        <f>Sheet1!J24*41868/10^6</f>
        <v>16.872803999999999</v>
      </c>
      <c r="K24" s="6">
        <f>Sheet1!K24*41868/10^6</f>
        <v>3.9774600000000002</v>
      </c>
      <c r="L24" s="6">
        <f>Sheet1!L24*41868/10^6</f>
        <v>72.012960000000007</v>
      </c>
    </row>
    <row r="25" spans="1:13" x14ac:dyDescent="0.35">
      <c r="A25" t="str">
        <f>Sheet1!A25</f>
        <v>Commercial and public services</v>
      </c>
      <c r="B25" s="6">
        <f>Sheet1!B25*41868/10^6</f>
        <v>2.0515319999999999</v>
      </c>
      <c r="C25" s="6">
        <f>Sheet1!C25*41868/10^6</f>
        <v>0</v>
      </c>
      <c r="D25" s="6">
        <f>Sheet1!D25*41868/10^6</f>
        <v>0.87922800000000001</v>
      </c>
      <c r="E25" s="6">
        <f>Sheet1!E25*41868/10^6</f>
        <v>0.96296400000000004</v>
      </c>
      <c r="F25" s="6">
        <f>Sheet1!F25*41868/10^6</f>
        <v>0</v>
      </c>
      <c r="G25" s="6">
        <f>Sheet1!G25*41868/10^6</f>
        <v>0</v>
      </c>
      <c r="H25" s="6">
        <f>Sheet1!H25*41868/10^6</f>
        <v>0</v>
      </c>
      <c r="I25" s="6">
        <f>Sheet1!I25*41868/10^6</f>
        <v>1.130436</v>
      </c>
      <c r="J25" s="6">
        <f>Sheet1!J25*41868/10^6</f>
        <v>8.2061279999999996</v>
      </c>
      <c r="K25" s="6">
        <f>Sheet1!K25*41868/10^6</f>
        <v>1.3397760000000001</v>
      </c>
      <c r="L25" s="6">
        <f>Sheet1!L25*41868/10^6</f>
        <v>14.570064</v>
      </c>
    </row>
    <row r="26" spans="1:13" x14ac:dyDescent="0.35">
      <c r="A26" t="str">
        <f>Sheet1!A26</f>
        <v>Agriculture/forestry</v>
      </c>
      <c r="B26" s="6">
        <f>Sheet1!B26*41868/10^6</f>
        <v>0</v>
      </c>
      <c r="C26" s="6">
        <f>Sheet1!C26*41868/10^6</f>
        <v>0</v>
      </c>
      <c r="D26" s="6">
        <f>Sheet1!D26*41868/10^6</f>
        <v>1.5491159999999999</v>
      </c>
      <c r="E26" s="6">
        <f>Sheet1!E26*41868/10^6</f>
        <v>0</v>
      </c>
      <c r="F26" s="6">
        <f>Sheet1!F26*41868/10^6</f>
        <v>0</v>
      </c>
      <c r="G26" s="6">
        <f>Sheet1!G26*41868/10^6</f>
        <v>0</v>
      </c>
      <c r="H26" s="6">
        <f>Sheet1!H26*41868/10^6</f>
        <v>0</v>
      </c>
      <c r="I26" s="6">
        <f>Sheet1!I26*41868/10^6</f>
        <v>0</v>
      </c>
      <c r="J26" s="6">
        <f>Sheet1!J26*41868/10^6</f>
        <v>0.20934</v>
      </c>
      <c r="K26" s="6">
        <f>Sheet1!K26*41868/10^6</f>
        <v>0</v>
      </c>
      <c r="L26" s="6">
        <f>Sheet1!L26*41868/10^6</f>
        <v>1.758456</v>
      </c>
    </row>
    <row r="27" spans="1:13" x14ac:dyDescent="0.35">
      <c r="A27" t="str">
        <f>Sheet1!A27</f>
        <v>Fishing</v>
      </c>
      <c r="B27" s="6">
        <f>Sheet1!B27*41868/10^6</f>
        <v>0</v>
      </c>
      <c r="C27" s="6">
        <f>Sheet1!C27*41868/10^6</f>
        <v>0</v>
      </c>
      <c r="D27" s="6">
        <f>Sheet1!D27*41868/10^6</f>
        <v>0</v>
      </c>
      <c r="E27" s="6">
        <f>Sheet1!E27*41868/10^6</f>
        <v>0</v>
      </c>
      <c r="F27" s="6">
        <f>Sheet1!F27*41868/10^6</f>
        <v>0</v>
      </c>
      <c r="G27" s="6">
        <f>Sheet1!G27*41868/10^6</f>
        <v>0</v>
      </c>
      <c r="H27" s="6">
        <f>Sheet1!H27*41868/10^6</f>
        <v>0</v>
      </c>
      <c r="I27" s="6">
        <f>Sheet1!I27*41868/10^6</f>
        <v>0</v>
      </c>
      <c r="J27" s="6">
        <f>Sheet1!J27*41868/10^6</f>
        <v>0</v>
      </c>
      <c r="K27" s="6">
        <f>Sheet1!K27*41868/10^6</f>
        <v>0</v>
      </c>
      <c r="L27" s="6">
        <f>Sheet1!L27*41868/10^6</f>
        <v>0</v>
      </c>
    </row>
    <row r="28" spans="1:13" x14ac:dyDescent="0.35">
      <c r="A28" t="str">
        <f>Sheet1!A28</f>
        <v>Non-specified</v>
      </c>
      <c r="B28" s="6">
        <f>Sheet1!B28*41868/10^6</f>
        <v>0</v>
      </c>
      <c r="C28" s="6">
        <f>Sheet1!C28*41868/10^6</f>
        <v>0</v>
      </c>
      <c r="D28" s="6">
        <f>Sheet1!D28*41868/10^6</f>
        <v>0</v>
      </c>
      <c r="E28" s="6">
        <f>Sheet1!E28*41868/10^6</f>
        <v>0</v>
      </c>
      <c r="F28" s="6">
        <f>Sheet1!F28*41868/10^6</f>
        <v>0</v>
      </c>
      <c r="G28" s="6">
        <f>Sheet1!G28*41868/10^6</f>
        <v>0</v>
      </c>
      <c r="H28" s="6">
        <f>Sheet1!H28*41868/10^6</f>
        <v>0</v>
      </c>
      <c r="I28" s="6">
        <f>Sheet1!I28*41868/10^6</f>
        <v>0</v>
      </c>
      <c r="J28" s="6">
        <f>Sheet1!J28*41868/10^6</f>
        <v>0</v>
      </c>
      <c r="K28" s="6">
        <f>Sheet1!K28*41868/10^6</f>
        <v>0</v>
      </c>
      <c r="L28" s="6">
        <f>Sheet1!L28*41868/10^6</f>
        <v>0</v>
      </c>
    </row>
    <row r="29" spans="1:13" x14ac:dyDescent="0.35">
      <c r="A29" t="str">
        <f>Sheet1!A29</f>
        <v>Non-energy use</v>
      </c>
      <c r="B29" s="6">
        <f>Sheet1!B29*41868/10^6</f>
        <v>0</v>
      </c>
      <c r="C29" s="6">
        <f>Sheet1!C29*41868/10^6</f>
        <v>0</v>
      </c>
      <c r="D29" s="6">
        <f>Sheet1!D29*41868/10^6</f>
        <v>4.1030639999999998</v>
      </c>
      <c r="E29" s="6">
        <f>Sheet1!E29*41868/10^6</f>
        <v>0</v>
      </c>
      <c r="F29" s="6">
        <f>Sheet1!F29*41868/10^6</f>
        <v>0</v>
      </c>
      <c r="G29" s="6">
        <f>Sheet1!G29*41868/10^6</f>
        <v>0</v>
      </c>
      <c r="H29" s="6">
        <f>Sheet1!H29*41868/10^6</f>
        <v>0</v>
      </c>
      <c r="I29" s="6">
        <f>Sheet1!I29*41868/10^6</f>
        <v>0</v>
      </c>
      <c r="J29" s="6">
        <f>Sheet1!J29*41868/10^6</f>
        <v>0</v>
      </c>
      <c r="K29" s="6">
        <f>Sheet1!K29*41868/10^6</f>
        <v>0</v>
      </c>
      <c r="L29" s="6">
        <f>Sheet1!L29*41868/10^6</f>
        <v>4.1030639999999998</v>
      </c>
    </row>
    <row r="30" spans="1:13" x14ac:dyDescent="0.35">
      <c r="A30" s="4"/>
      <c r="B30" s="7">
        <f>Sheet1!B30*41868/10^6</f>
        <v>16.286652</v>
      </c>
      <c r="C30" s="7">
        <f>Sheet1!C30*41868/10^6</f>
        <v>0</v>
      </c>
      <c r="D30" s="7">
        <f>Sheet1!D30*41868/10^6</f>
        <v>63.932436000000003</v>
      </c>
      <c r="E30" s="7">
        <f>Sheet1!E30*41868/10^6</f>
        <v>6.1964639999999997</v>
      </c>
      <c r="F30" s="7">
        <f>Sheet1!F30*41868/10^6</f>
        <v>0</v>
      </c>
      <c r="G30" s="7">
        <f>Sheet1!G30*41868/10^6</f>
        <v>0</v>
      </c>
      <c r="H30" s="7">
        <f>Sheet1!H30*41868/10^6</f>
        <v>0</v>
      </c>
      <c r="I30" s="7">
        <f>Sheet1!I30*41868/10^6</f>
        <v>47.185236000000003</v>
      </c>
      <c r="J30" s="7">
        <f>Sheet1!J30*41868/10^6</f>
        <v>41.198112000000002</v>
      </c>
      <c r="K30" s="7">
        <f>Sheet1!K30*41868/10^6</f>
        <v>5.3591040000000003</v>
      </c>
      <c r="L30" s="7">
        <f>Sheet1!L30*41868/10^6</f>
        <v>180.15800400000001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911DF-4B6F-441E-B6BD-B65E72F82DB7}">
  <dimension ref="A1:M30"/>
  <sheetViews>
    <sheetView topLeftCell="B1" workbookViewId="0">
      <selection activeCell="E39" sqref="E39"/>
    </sheetView>
  </sheetViews>
  <sheetFormatPr defaultRowHeight="14.5" x14ac:dyDescent="0.35"/>
  <cols>
    <col min="1" max="1" width="27.1796875" bestFit="1" customWidth="1"/>
    <col min="4" max="4" width="10.90625" bestFit="1" customWidth="1"/>
    <col min="5" max="5" width="10.1796875" bestFit="1" customWidth="1"/>
    <col min="8" max="8" width="13.26953125" bestFit="1" customWidth="1"/>
    <col min="9" max="9" width="16.54296875" bestFit="1" customWidth="1"/>
  </cols>
  <sheetData>
    <row r="1" spans="1:13" x14ac:dyDescent="0.35">
      <c r="A1">
        <f>Sheet1!A1</f>
        <v>0</v>
      </c>
      <c r="B1" t="str">
        <f>Sheet1!B1</f>
        <v>Coal</v>
      </c>
      <c r="C1" t="str">
        <f>Sheet1!C1</f>
        <v>Crude oil</v>
      </c>
      <c r="D1" t="str">
        <f>Sheet1!D1</f>
        <v>Oil products</v>
      </c>
      <c r="E1" t="str">
        <f>Sheet1!E1</f>
        <v>Natural gas</v>
      </c>
      <c r="F1" t="str">
        <f>Sheet1!F1</f>
        <v>Nuclear</v>
      </c>
      <c r="G1" t="str">
        <f>Sheet1!G1</f>
        <v>Hidro</v>
      </c>
      <c r="H1" t="str">
        <f>Sheet1!H1</f>
        <v>Wind, solar,etc</v>
      </c>
      <c r="I1" t="str">
        <f>Sheet1!I1</f>
        <v>Biofuels and waste</v>
      </c>
      <c r="J1" t="str">
        <f>Sheet1!J1</f>
        <v>Electricity</v>
      </c>
      <c r="K1" t="str">
        <f>Sheet1!K1</f>
        <v>Heat</v>
      </c>
      <c r="L1" t="str">
        <f>Sheet1!L1</f>
        <v>Total</v>
      </c>
    </row>
    <row r="2" spans="1:13" x14ac:dyDescent="0.35">
      <c r="A2" t="str">
        <f>Sheet1!A2</f>
        <v>Production</v>
      </c>
      <c r="B2">
        <f>Sheet1!B2*11630/10^6</f>
        <v>42.554169999999999</v>
      </c>
      <c r="C2">
        <f>Sheet1!C2*11630/10^6</f>
        <v>0</v>
      </c>
      <c r="D2">
        <f>Sheet1!D2*11630/10^6</f>
        <v>0</v>
      </c>
      <c r="E2">
        <f>Sheet1!E2*11630/10^6</f>
        <v>0</v>
      </c>
      <c r="F2">
        <f>Sheet1!F2*11630/10^6</f>
        <v>0</v>
      </c>
      <c r="G2">
        <f>Sheet1!G2*11630/10^6</f>
        <v>6.4197600000000001</v>
      </c>
      <c r="H2">
        <f>Sheet1!H2*11630/10^6</f>
        <v>0.12792999999999999</v>
      </c>
      <c r="I2">
        <f>Sheet1!I2*11630/10^6</f>
        <v>16.875129999999999</v>
      </c>
      <c r="J2">
        <f>Sheet1!J2*11630/10^6</f>
        <v>0</v>
      </c>
      <c r="K2">
        <f>Sheet1!K2*11630/10^6</f>
        <v>0</v>
      </c>
      <c r="L2">
        <f>Sheet1!L2*11630/10^6</f>
        <v>65.976990000000001</v>
      </c>
      <c r="M2">
        <f>Sheet1!M2*11630/10^6</f>
        <v>0</v>
      </c>
    </row>
    <row r="3" spans="1:13" x14ac:dyDescent="0.35">
      <c r="A3" t="str">
        <f>Sheet1!A3</f>
        <v>Imports</v>
      </c>
      <c r="B3">
        <f>Sheet1!B3*11630/10^6</f>
        <v>12.374320000000001</v>
      </c>
      <c r="C3">
        <f>Sheet1!C3*11630/10^6</f>
        <v>8.2456700000000005</v>
      </c>
      <c r="D3">
        <f>Sheet1!D3*11630/10^6</f>
        <v>13.42102</v>
      </c>
      <c r="E3">
        <f>Sheet1!E3*11630/10^6</f>
        <v>2.3143699999999998</v>
      </c>
      <c r="F3">
        <f>Sheet1!F3*11630/10^6</f>
        <v>0</v>
      </c>
      <c r="G3">
        <f>Sheet1!G3*11630/10^6</f>
        <v>0</v>
      </c>
      <c r="H3">
        <f>Sheet1!H3*11630/10^6</f>
        <v>0</v>
      </c>
      <c r="I3">
        <f>Sheet1!I3*11630/10^6</f>
        <v>6.9779999999999995E-2</v>
      </c>
      <c r="J3">
        <f>Sheet1!J3*11630/10^6</f>
        <v>3.0935800000000002</v>
      </c>
      <c r="K3">
        <f>Sheet1!K3*11630/10^6</f>
        <v>0</v>
      </c>
      <c r="L3">
        <f>Sheet1!L3*11630/10^6</f>
        <v>39.518740000000001</v>
      </c>
      <c r="M3">
        <f>Sheet1!M3*11630/10^6</f>
        <v>0</v>
      </c>
    </row>
    <row r="4" spans="1:13" x14ac:dyDescent="0.35">
      <c r="A4" t="str">
        <f>Sheet1!A4</f>
        <v>Exports</v>
      </c>
      <c r="B4">
        <f>Sheet1!B4*11630/10^6</f>
        <v>-5.05905</v>
      </c>
      <c r="C4">
        <f>Sheet1!C4*11630/10^6</f>
        <v>0</v>
      </c>
      <c r="D4">
        <f>Sheet1!D4*11630/10^6</f>
        <v>-2.6167500000000001</v>
      </c>
      <c r="E4">
        <f>Sheet1!E4*11630/10^6</f>
        <v>0</v>
      </c>
      <c r="F4">
        <f>Sheet1!F4*11630/10^6</f>
        <v>0</v>
      </c>
      <c r="G4">
        <f>Sheet1!G4*11630/10^6</f>
        <v>0</v>
      </c>
      <c r="H4">
        <f>Sheet1!H4*11630/10^6</f>
        <v>0</v>
      </c>
      <c r="I4">
        <f>Sheet1!I4*11630/10^6</f>
        <v>-3.08195</v>
      </c>
      <c r="J4">
        <f>Sheet1!J4*11630/10^6</f>
        <v>-7.6990600000000002</v>
      </c>
      <c r="K4">
        <f>Sheet1!K4*11630/10^6</f>
        <v>0</v>
      </c>
      <c r="L4">
        <f>Sheet1!L4*11630/10^6</f>
        <v>-18.456810000000001</v>
      </c>
      <c r="M4">
        <f>Sheet1!M4*11630/10^6</f>
        <v>0</v>
      </c>
    </row>
    <row r="5" spans="1:13" x14ac:dyDescent="0.35">
      <c r="A5" t="str">
        <f>Sheet1!A5</f>
        <v>International marine bunkers</v>
      </c>
      <c r="B5">
        <f>Sheet1!B5*11630/10^6</f>
        <v>0</v>
      </c>
      <c r="C5">
        <f>Sheet1!C5*11630/10^6</f>
        <v>0</v>
      </c>
      <c r="D5">
        <f>Sheet1!D5*11630/10^6</f>
        <v>0</v>
      </c>
      <c r="E5">
        <f>Sheet1!E5*11630/10^6</f>
        <v>0</v>
      </c>
      <c r="F5">
        <f>Sheet1!F5*11630/10^6</f>
        <v>0</v>
      </c>
      <c r="G5">
        <f>Sheet1!G5*11630/10^6</f>
        <v>0</v>
      </c>
      <c r="H5">
        <f>Sheet1!H5*11630/10^6</f>
        <v>0</v>
      </c>
      <c r="I5">
        <f>Sheet1!I5*11630/10^6</f>
        <v>0</v>
      </c>
      <c r="J5">
        <f>Sheet1!J5*11630/10^6</f>
        <v>0</v>
      </c>
      <c r="K5">
        <f>Sheet1!K5*11630/10^6</f>
        <v>0</v>
      </c>
      <c r="L5">
        <f>Sheet1!L5*11630/10^6</f>
        <v>0</v>
      </c>
      <c r="M5">
        <f>Sheet1!M5*11630/10^6</f>
        <v>0</v>
      </c>
    </row>
    <row r="6" spans="1:13" x14ac:dyDescent="0.35">
      <c r="A6" t="str">
        <f>Sheet1!A6</f>
        <v>International aviation bunkers</v>
      </c>
      <c r="B6">
        <f>Sheet1!B6*11630/10^6</f>
        <v>0</v>
      </c>
      <c r="C6">
        <f>Sheet1!C6*11630/10^6</f>
        <v>0</v>
      </c>
      <c r="D6">
        <f>Sheet1!D6*11630/10^6</f>
        <v>-9.3039999999999998E-2</v>
      </c>
      <c r="E6">
        <f>Sheet1!E6*11630/10^6</f>
        <v>0</v>
      </c>
      <c r="F6">
        <f>Sheet1!F6*11630/10^6</f>
        <v>0</v>
      </c>
      <c r="G6">
        <f>Sheet1!G6*11630/10^6</f>
        <v>0</v>
      </c>
      <c r="H6">
        <f>Sheet1!H6*11630/10^6</f>
        <v>0</v>
      </c>
      <c r="I6">
        <f>Sheet1!I6*11630/10^6</f>
        <v>0</v>
      </c>
      <c r="J6">
        <f>Sheet1!J6*11630/10^6</f>
        <v>0</v>
      </c>
      <c r="K6">
        <f>Sheet1!K6*11630/10^6</f>
        <v>0</v>
      </c>
      <c r="L6">
        <f>Sheet1!L6*11630/10^6</f>
        <v>-9.3039999999999998E-2</v>
      </c>
      <c r="M6">
        <f>Sheet1!M6*11630/10^6</f>
        <v>0</v>
      </c>
    </row>
    <row r="7" spans="1:13" x14ac:dyDescent="0.35">
      <c r="A7" t="str">
        <f>Sheet1!A7</f>
        <v>Stock changes</v>
      </c>
      <c r="B7">
        <f>Sheet1!B7*11630/10^6</f>
        <v>-0.67454000000000003</v>
      </c>
      <c r="C7">
        <f>Sheet1!C7*11630/10^6</f>
        <v>0.16281999999999999</v>
      </c>
      <c r="D7">
        <f>Sheet1!D7*11630/10^6</f>
        <v>0.41868</v>
      </c>
      <c r="E7">
        <f>Sheet1!E7*11630/10^6</f>
        <v>0</v>
      </c>
      <c r="F7">
        <f>Sheet1!F7*11630/10^6</f>
        <v>0</v>
      </c>
      <c r="G7">
        <f>Sheet1!G7*11630/10^6</f>
        <v>0</v>
      </c>
      <c r="H7">
        <f>Sheet1!H7*11630/10^6</f>
        <v>0</v>
      </c>
      <c r="I7">
        <f>Sheet1!I7*11630/10^6</f>
        <v>0</v>
      </c>
      <c r="J7">
        <f>Sheet1!J7*11630/10^6</f>
        <v>0</v>
      </c>
      <c r="K7">
        <f>Sheet1!K7*11630/10^6</f>
        <v>0</v>
      </c>
      <c r="L7">
        <f>Sheet1!L7*11630/10^6</f>
        <v>-9.3039999999999998E-2</v>
      </c>
      <c r="M7">
        <f>Sheet1!M7*11630/10^6</f>
        <v>0</v>
      </c>
    </row>
    <row r="8" spans="1:13" x14ac:dyDescent="0.35">
      <c r="A8" s="2" t="str">
        <f>Sheet1!A8</f>
        <v>TES</v>
      </c>
      <c r="B8" s="2">
        <f>Sheet1!B8*11630/10^6</f>
        <v>49.194899999999997</v>
      </c>
      <c r="C8" s="2">
        <f>Sheet1!C8*11630/10^6</f>
        <v>8.4084900000000005</v>
      </c>
      <c r="D8" s="2">
        <f>Sheet1!D8*11630/10^6</f>
        <v>11.129910000000001</v>
      </c>
      <c r="E8" s="2">
        <f>Sheet1!E8*11630/10^6</f>
        <v>2.3143699999999998</v>
      </c>
      <c r="F8" s="2">
        <f>Sheet1!F8*11630/10^6</f>
        <v>0</v>
      </c>
      <c r="G8" s="2">
        <f>Sheet1!G8*11630/10^6</f>
        <v>6.4197600000000001</v>
      </c>
      <c r="H8" s="2">
        <f>Sheet1!H8*11630/10^6</f>
        <v>0.12792999999999999</v>
      </c>
      <c r="I8" s="2">
        <f>Sheet1!I8*11630/10^6</f>
        <v>13.862959999999999</v>
      </c>
      <c r="J8" s="2">
        <f>Sheet1!J8*11630/10^6</f>
        <v>-4.60548</v>
      </c>
      <c r="K8" s="2">
        <f>Sheet1!K8*11630/10^6</f>
        <v>0</v>
      </c>
      <c r="L8" s="3">
        <f>Sheet1!L8*11630/10^6</f>
        <v>86.85284</v>
      </c>
      <c r="M8" s="2">
        <f>Sheet1!M8*11630/10^6</f>
        <v>86.85284</v>
      </c>
    </row>
    <row r="9" spans="1:13" x14ac:dyDescent="0.35">
      <c r="A9" t="str">
        <f>Sheet1!A9</f>
        <v>Transfers</v>
      </c>
      <c r="B9">
        <f>Sheet1!B9*11630/10^6</f>
        <v>0</v>
      </c>
      <c r="C9">
        <f>Sheet1!C9*11630/10^6</f>
        <v>0</v>
      </c>
      <c r="D9">
        <f>Sheet1!D9*11630/10^6</f>
        <v>0</v>
      </c>
      <c r="E9">
        <f>Sheet1!E9*11630/10^6</f>
        <v>0</v>
      </c>
      <c r="F9">
        <f>Sheet1!F9*11630/10^6</f>
        <v>0</v>
      </c>
      <c r="G9">
        <f>Sheet1!G9*11630/10^6</f>
        <v>0</v>
      </c>
      <c r="H9">
        <f>Sheet1!H9*11630/10^6</f>
        <v>0</v>
      </c>
      <c r="I9">
        <f>Sheet1!I9*11630/10^6</f>
        <v>0</v>
      </c>
      <c r="J9">
        <f>Sheet1!J9*11630/10^6</f>
        <v>0</v>
      </c>
      <c r="K9">
        <f>Sheet1!K9*11630/10^6</f>
        <v>0</v>
      </c>
      <c r="L9">
        <f>Sheet1!L9*11630/10^6</f>
        <v>0</v>
      </c>
      <c r="M9">
        <f>Sheet1!M9*11630/10^6</f>
        <v>0</v>
      </c>
    </row>
    <row r="10" spans="1:13" x14ac:dyDescent="0.35">
      <c r="A10" t="str">
        <f>Sheet1!A10</f>
        <v>Statistical differences</v>
      </c>
      <c r="B10">
        <f>Sheet1!B10*11630/10^6</f>
        <v>0</v>
      </c>
      <c r="C10">
        <f>Sheet1!C10*11630/10^6</f>
        <v>0</v>
      </c>
      <c r="D10">
        <f>Sheet1!D10*11630/10^6</f>
        <v>0</v>
      </c>
      <c r="E10">
        <f>Sheet1!E10*11630/10^6</f>
        <v>0</v>
      </c>
      <c r="F10">
        <f>Sheet1!F10*11630/10^6</f>
        <v>0</v>
      </c>
      <c r="G10">
        <f>Sheet1!G10*11630/10^6</f>
        <v>0</v>
      </c>
      <c r="H10">
        <f>Sheet1!H10*11630/10^6</f>
        <v>0</v>
      </c>
      <c r="I10">
        <f>Sheet1!I10*11630/10^6</f>
        <v>0</v>
      </c>
      <c r="J10">
        <f>Sheet1!J10*11630/10^6</f>
        <v>0</v>
      </c>
      <c r="K10">
        <f>Sheet1!K10*11630/10^6</f>
        <v>0</v>
      </c>
      <c r="L10">
        <f>Sheet1!L10*11630/10^6</f>
        <v>0</v>
      </c>
      <c r="M10">
        <f>Sheet1!M10*11630/10^6</f>
        <v>0</v>
      </c>
    </row>
    <row r="11" spans="1:13" x14ac:dyDescent="0.35">
      <c r="A11" t="str">
        <f>Sheet1!A11</f>
        <v>Electricity plants</v>
      </c>
      <c r="B11">
        <f>Sheet1!B11*11630/10^6</f>
        <v>-37.739350000000002</v>
      </c>
      <c r="C11">
        <f>Sheet1!C11*11630/10^6</f>
        <v>0</v>
      </c>
      <c r="D11">
        <f>Sheet1!D11*11630/10^6</f>
        <v>-0.12792999999999999</v>
      </c>
      <c r="E11">
        <f>Sheet1!E11*11630/10^6</f>
        <v>-6.9779999999999995E-2</v>
      </c>
      <c r="F11">
        <f>Sheet1!F11*11630/10^6</f>
        <v>0</v>
      </c>
      <c r="G11">
        <f>Sheet1!G11*11630/10^6</f>
        <v>-6.4197600000000001</v>
      </c>
      <c r="H11">
        <f>Sheet1!H11*11630/10^6</f>
        <v>-0.12792999999999999</v>
      </c>
      <c r="I11">
        <f>Sheet1!I11*11630/10^6</f>
        <v>-2.3259999999999999E-2</v>
      </c>
      <c r="J11">
        <f>Sheet1!J11*11630/10^6</f>
        <v>18.840599999999998</v>
      </c>
      <c r="K11">
        <f>Sheet1!K11*11630/10^6</f>
        <v>0</v>
      </c>
      <c r="L11">
        <f>Sheet1!L11*11630/10^6</f>
        <v>-25.66741</v>
      </c>
      <c r="M11">
        <f>Sheet1!M11*11630/10^6</f>
        <v>0</v>
      </c>
    </row>
    <row r="12" spans="1:13" x14ac:dyDescent="0.35">
      <c r="A12" t="str">
        <f>Sheet1!A12</f>
        <v>CHP plants</v>
      </c>
      <c r="B12">
        <f>Sheet1!B12*11630/10^6</f>
        <v>-0.97692000000000001</v>
      </c>
      <c r="C12">
        <f>Sheet1!C12*11630/10^6</f>
        <v>0</v>
      </c>
      <c r="D12">
        <f>Sheet1!D12*11630/10^6</f>
        <v>0</v>
      </c>
      <c r="E12">
        <f>Sheet1!E12*11630/10^6</f>
        <v>0</v>
      </c>
      <c r="F12">
        <f>Sheet1!F12*11630/10^6</f>
        <v>0</v>
      </c>
      <c r="G12">
        <f>Sheet1!G12*11630/10^6</f>
        <v>0</v>
      </c>
      <c r="H12">
        <f>Sheet1!H12*11630/10^6</f>
        <v>0</v>
      </c>
      <c r="I12">
        <f>Sheet1!I12*11630/10^6</f>
        <v>-5.815E-2</v>
      </c>
      <c r="J12">
        <f>Sheet1!J12*11630/10^6</f>
        <v>0.22097</v>
      </c>
      <c r="K12">
        <f>Sheet1!K12*11630/10^6</f>
        <v>0.48846000000000001</v>
      </c>
      <c r="L12">
        <f>Sheet1!L12*11630/10^6</f>
        <v>-0.32563999999999999</v>
      </c>
      <c r="M12">
        <f>Sheet1!M12*11630/10^6</f>
        <v>0</v>
      </c>
    </row>
    <row r="13" spans="1:13" x14ac:dyDescent="0.35">
      <c r="A13" t="str">
        <f>Sheet1!A13</f>
        <v>Heat plants</v>
      </c>
      <c r="B13">
        <f>Sheet1!B13*11630/10^6</f>
        <v>-0.65127999999999997</v>
      </c>
      <c r="C13">
        <f>Sheet1!C13*11630/10^6</f>
        <v>0</v>
      </c>
      <c r="D13">
        <f>Sheet1!D13*11630/10^6</f>
        <v>-9.3039999999999998E-2</v>
      </c>
      <c r="E13">
        <f>Sheet1!E13*11630/10^6</f>
        <v>-0.51171999999999995</v>
      </c>
      <c r="F13">
        <f>Sheet1!F13*11630/10^6</f>
        <v>0</v>
      </c>
      <c r="G13">
        <f>Sheet1!G13*11630/10^6</f>
        <v>0</v>
      </c>
      <c r="H13">
        <f>Sheet1!H13*11630/10^6</f>
        <v>0</v>
      </c>
      <c r="I13">
        <f>Sheet1!I13*11630/10^6</f>
        <v>-0.30237999999999998</v>
      </c>
      <c r="J13">
        <f>Sheet1!J13*11630/10^6</f>
        <v>0</v>
      </c>
      <c r="K13">
        <f>Sheet1!K13*11630/10^6</f>
        <v>1.1164799999999999</v>
      </c>
      <c r="L13">
        <f>Sheet1!L13*11630/10^6</f>
        <v>-0.44194</v>
      </c>
      <c r="M13">
        <f>Sheet1!M13*11630/10^6</f>
        <v>0</v>
      </c>
    </row>
    <row r="14" spans="1:13" x14ac:dyDescent="0.35">
      <c r="A14" t="str">
        <f>Sheet1!A14</f>
        <v>Gas works</v>
      </c>
      <c r="B14">
        <f>Sheet1!B14*11630/10^6</f>
        <v>0</v>
      </c>
      <c r="C14">
        <f>Sheet1!C14*11630/10^6</f>
        <v>0</v>
      </c>
      <c r="D14">
        <f>Sheet1!D14*11630/10^6</f>
        <v>0</v>
      </c>
      <c r="E14">
        <f>Sheet1!E14*11630/10^6</f>
        <v>0</v>
      </c>
      <c r="F14">
        <f>Sheet1!F14*11630/10^6</f>
        <v>0</v>
      </c>
      <c r="G14">
        <f>Sheet1!G14*11630/10^6</f>
        <v>0</v>
      </c>
      <c r="H14">
        <f>Sheet1!H14*11630/10^6</f>
        <v>0</v>
      </c>
      <c r="I14">
        <f>Sheet1!I14*11630/10^6</f>
        <v>0</v>
      </c>
      <c r="J14">
        <f>Sheet1!J14*11630/10^6</f>
        <v>0</v>
      </c>
      <c r="K14">
        <f>Sheet1!K14*11630/10^6</f>
        <v>0</v>
      </c>
      <c r="L14">
        <f>Sheet1!L14*11630/10^6</f>
        <v>0</v>
      </c>
      <c r="M14">
        <f>Sheet1!M14*11630/10^6</f>
        <v>0</v>
      </c>
    </row>
    <row r="15" spans="1:13" x14ac:dyDescent="0.35">
      <c r="A15" t="str">
        <f>Sheet1!A15</f>
        <v>Oil refineries</v>
      </c>
      <c r="B15">
        <f>Sheet1!B15*11630/10^6</f>
        <v>0</v>
      </c>
      <c r="C15">
        <f>Sheet1!C15*11630/10^6</f>
        <v>-8.4084900000000005</v>
      </c>
      <c r="D15">
        <f>Sheet1!D15*11630/10^6</f>
        <v>8.1875199999999992</v>
      </c>
      <c r="E15">
        <f>Sheet1!E15*11630/10^6</f>
        <v>0</v>
      </c>
      <c r="F15">
        <f>Sheet1!F15*11630/10^6</f>
        <v>0</v>
      </c>
      <c r="G15">
        <f>Sheet1!G15*11630/10^6</f>
        <v>0</v>
      </c>
      <c r="H15">
        <f>Sheet1!H15*11630/10^6</f>
        <v>0</v>
      </c>
      <c r="I15">
        <f>Sheet1!I15*11630/10^6</f>
        <v>0</v>
      </c>
      <c r="J15">
        <f>Sheet1!J15*11630/10^6</f>
        <v>0</v>
      </c>
      <c r="K15">
        <f>Sheet1!K15*11630/10^6</f>
        <v>0</v>
      </c>
      <c r="L15">
        <f>Sheet1!L15*11630/10^6</f>
        <v>-0.22097</v>
      </c>
      <c r="M15">
        <f>Sheet1!M15*11630/10^6</f>
        <v>0</v>
      </c>
    </row>
    <row r="16" spans="1:13" x14ac:dyDescent="0.35">
      <c r="A16" t="str">
        <f>Sheet1!A16</f>
        <v>Coal transformation</v>
      </c>
      <c r="B16">
        <f>Sheet1!B16*11630/10^6</f>
        <v>-3.3727</v>
      </c>
      <c r="C16">
        <f>Sheet1!C16*11630/10^6</f>
        <v>0</v>
      </c>
      <c r="D16">
        <f>Sheet1!D16*11630/10^6</f>
        <v>0</v>
      </c>
      <c r="E16">
        <f>Sheet1!E16*11630/10^6</f>
        <v>0</v>
      </c>
      <c r="F16">
        <f>Sheet1!F16*11630/10^6</f>
        <v>0</v>
      </c>
      <c r="G16">
        <f>Sheet1!G16*11630/10^6</f>
        <v>0</v>
      </c>
      <c r="H16">
        <f>Sheet1!H16*11630/10^6</f>
        <v>0</v>
      </c>
      <c r="I16">
        <f>Sheet1!I16*11630/10^6</f>
        <v>0</v>
      </c>
      <c r="J16">
        <f>Sheet1!J16*11630/10^6</f>
        <v>0</v>
      </c>
      <c r="K16">
        <f>Sheet1!K16*11630/10^6</f>
        <v>0</v>
      </c>
      <c r="L16">
        <f>Sheet1!L16*11630/10^6</f>
        <v>-3.3727</v>
      </c>
      <c r="M16">
        <f>Sheet1!M16*11630/10^6</f>
        <v>0</v>
      </c>
    </row>
    <row r="17" spans="1:13" x14ac:dyDescent="0.35">
      <c r="A17" t="str">
        <f>Sheet1!A17</f>
        <v>Liquefication plants</v>
      </c>
      <c r="B17">
        <f>Sheet1!B17*11630/10^6</f>
        <v>0</v>
      </c>
      <c r="C17">
        <f>Sheet1!C17*11630/10^6</f>
        <v>0</v>
      </c>
      <c r="D17">
        <f>Sheet1!D17*11630/10^6</f>
        <v>0</v>
      </c>
      <c r="E17">
        <f>Sheet1!E17*11630/10^6</f>
        <v>0</v>
      </c>
      <c r="F17">
        <f>Sheet1!F17*11630/10^6</f>
        <v>0</v>
      </c>
      <c r="G17">
        <f>Sheet1!G17*11630/10^6</f>
        <v>0</v>
      </c>
      <c r="H17">
        <f>Sheet1!H17*11630/10^6</f>
        <v>0</v>
      </c>
      <c r="I17">
        <f>Sheet1!I17*11630/10^6</f>
        <v>0</v>
      </c>
      <c r="J17">
        <f>Sheet1!J17*11630/10^6</f>
        <v>0</v>
      </c>
      <c r="K17">
        <f>Sheet1!K17*11630/10^6</f>
        <v>0</v>
      </c>
      <c r="L17">
        <f>Sheet1!L17*11630/10^6</f>
        <v>0</v>
      </c>
      <c r="M17">
        <f>Sheet1!M17*11630/10^6</f>
        <v>0</v>
      </c>
    </row>
    <row r="18" spans="1:13" x14ac:dyDescent="0.35">
      <c r="A18" t="str">
        <f>Sheet1!A18</f>
        <v>Other transformation</v>
      </c>
      <c r="B18">
        <f>Sheet1!B18*11630/10^6</f>
        <v>0</v>
      </c>
      <c r="C18">
        <f>Sheet1!C18*11630/10^6</f>
        <v>0</v>
      </c>
      <c r="D18">
        <f>Sheet1!D18*11630/10^6</f>
        <v>0</v>
      </c>
      <c r="E18">
        <f>Sheet1!E18*11630/10^6</f>
        <v>0</v>
      </c>
      <c r="F18">
        <f>Sheet1!F18*11630/10^6</f>
        <v>0</v>
      </c>
      <c r="G18">
        <f>Sheet1!G18*11630/10^6</f>
        <v>0</v>
      </c>
      <c r="H18">
        <f>Sheet1!H18*11630/10^6</f>
        <v>0</v>
      </c>
      <c r="I18">
        <f>Sheet1!I18*11630/10^6</f>
        <v>-0.37215999999999999</v>
      </c>
      <c r="J18">
        <f>Sheet1!J18*11630/10^6</f>
        <v>0</v>
      </c>
      <c r="K18">
        <f>Sheet1!K18*11630/10^6</f>
        <v>0</v>
      </c>
      <c r="L18">
        <f>Sheet1!L18*11630/10^6</f>
        <v>-0.37215999999999999</v>
      </c>
      <c r="M18">
        <f>Sheet1!M18*11630/10^6</f>
        <v>0</v>
      </c>
    </row>
    <row r="19" spans="1:13" x14ac:dyDescent="0.35">
      <c r="A19" t="str">
        <f>Sheet1!A19</f>
        <v>Energy industry own use</v>
      </c>
      <c r="B19">
        <f>Sheet1!B19*11630/10^6</f>
        <v>-1.94221</v>
      </c>
      <c r="C19">
        <f>Sheet1!C19*11630/10^6</f>
        <v>0</v>
      </c>
      <c r="D19">
        <f>Sheet1!D19*11630/10^6</f>
        <v>-1.3490800000000001</v>
      </c>
      <c r="E19">
        <f>Sheet1!E19*11630/10^6</f>
        <v>0</v>
      </c>
      <c r="F19">
        <f>Sheet1!F19*11630/10^6</f>
        <v>0</v>
      </c>
      <c r="G19">
        <f>Sheet1!G19*11630/10^6</f>
        <v>0</v>
      </c>
      <c r="H19">
        <f>Sheet1!H19*11630/10^6</f>
        <v>0</v>
      </c>
      <c r="I19">
        <f>Sheet1!I19*11630/10^6</f>
        <v>0</v>
      </c>
      <c r="J19">
        <f>Sheet1!J19*11630/10^6</f>
        <v>-1.6514599999999999</v>
      </c>
      <c r="K19">
        <f>Sheet1!K19*11630/10^6</f>
        <v>-1.163E-2</v>
      </c>
      <c r="L19">
        <f>Sheet1!L19*11630/10^6</f>
        <v>-4.9543799999999996</v>
      </c>
      <c r="M19">
        <f>Sheet1!M19*11630/10^6</f>
        <v>0</v>
      </c>
    </row>
    <row r="20" spans="1:13" x14ac:dyDescent="0.35">
      <c r="A20" t="str">
        <f>Sheet1!A20</f>
        <v>Losses</v>
      </c>
      <c r="B20">
        <f>Sheet1!B20*11630/10^6</f>
        <v>0</v>
      </c>
      <c r="C20">
        <f>Sheet1!C20*11630/10^6</f>
        <v>0</v>
      </c>
      <c r="D20">
        <f>Sheet1!D20*11630/10^6</f>
        <v>0</v>
      </c>
      <c r="E20">
        <f>Sheet1!E20*11630/10^6</f>
        <v>-1.163E-2</v>
      </c>
      <c r="F20">
        <f>Sheet1!F20*11630/10^6</f>
        <v>0</v>
      </c>
      <c r="G20">
        <f>Sheet1!G20*11630/10^6</f>
        <v>0</v>
      </c>
      <c r="H20">
        <f>Sheet1!H20*11630/10^6</f>
        <v>0</v>
      </c>
      <c r="I20">
        <f>Sheet1!I20*11630/10^6</f>
        <v>0</v>
      </c>
      <c r="J20">
        <f>Sheet1!J20*11630/10^6</f>
        <v>-1.3490800000000001</v>
      </c>
      <c r="K20">
        <f>Sheet1!K20*11630/10^6</f>
        <v>-0.1163</v>
      </c>
      <c r="L20">
        <f>Sheet1!L20*11630/10^6</f>
        <v>-1.4770099999999999</v>
      </c>
      <c r="M20">
        <f>Sheet1!M20*11630/10^6</f>
        <v>0</v>
      </c>
    </row>
    <row r="21" spans="1:13" x14ac:dyDescent="0.35">
      <c r="A21" s="2" t="str">
        <f>Sheet1!A21</f>
        <v>Total final consumption</v>
      </c>
      <c r="B21" s="2">
        <f>Sheet1!B21*11630/10^6</f>
        <v>4.5124399999999998</v>
      </c>
      <c r="C21" s="2">
        <f>Sheet1!C21*11630/10^6</f>
        <v>0</v>
      </c>
      <c r="D21" s="2">
        <f>Sheet1!D21*11630/10^6</f>
        <v>17.74738</v>
      </c>
      <c r="E21" s="2">
        <f>Sheet1!E21*11630/10^6</f>
        <v>1.7212400000000001</v>
      </c>
      <c r="F21" s="2">
        <f>Sheet1!F21*11630/10^6</f>
        <v>0</v>
      </c>
      <c r="G21" s="2">
        <f>Sheet1!G21*11630/10^6</f>
        <v>0</v>
      </c>
      <c r="H21" s="2">
        <f>Sheet1!H21*11630/10^6</f>
        <v>0</v>
      </c>
      <c r="I21" s="2">
        <f>Sheet1!I21*11630/10^6</f>
        <v>13.107010000000001</v>
      </c>
      <c r="J21" s="2">
        <f>Sheet1!J21*11630/10^6</f>
        <v>11.455550000000001</v>
      </c>
      <c r="K21" s="2">
        <f>Sheet1!K21*11630/10^6</f>
        <v>1.4770099999999999</v>
      </c>
      <c r="L21" s="3">
        <f>Sheet1!L21*11630/10^6</f>
        <v>50.020629999999997</v>
      </c>
      <c r="M21" s="2">
        <f>Sheet1!M21*11630/10^6</f>
        <v>50.020629999999997</v>
      </c>
    </row>
    <row r="22" spans="1:13" x14ac:dyDescent="0.35">
      <c r="A22" t="str">
        <f>Sheet1!A22</f>
        <v>Industry</v>
      </c>
      <c r="B22">
        <f>Sheet1!B22*11630/10^6</f>
        <v>3.0586899999999999</v>
      </c>
      <c r="C22">
        <f>Sheet1!C22*11630/10^6</f>
        <v>0</v>
      </c>
      <c r="D22">
        <f>Sheet1!D22*11630/10^6</f>
        <v>1.3956</v>
      </c>
      <c r="E22">
        <f>Sheet1!E22*11630/10^6</f>
        <v>1.0118100000000001</v>
      </c>
      <c r="F22">
        <f>Sheet1!F22*11630/10^6</f>
        <v>0</v>
      </c>
      <c r="G22">
        <f>Sheet1!G22*11630/10^6</f>
        <v>0</v>
      </c>
      <c r="H22">
        <f>Sheet1!H22*11630/10^6</f>
        <v>0</v>
      </c>
      <c r="I22">
        <f>Sheet1!I22*11630/10^6</f>
        <v>0.19771</v>
      </c>
      <c r="J22" s="6">
        <f>Sheet1!J22*11630/10^6</f>
        <v>4.3612500000000001</v>
      </c>
      <c r="K22">
        <f>Sheet1!K22*11630/10^6</f>
        <v>1.163E-2</v>
      </c>
      <c r="L22">
        <f>Sheet1!L22*11630/10^6</f>
        <v>10.03669</v>
      </c>
      <c r="M22">
        <f>Sheet1!M22*11630/10^6</f>
        <v>0</v>
      </c>
    </row>
    <row r="23" spans="1:13" x14ac:dyDescent="0.35">
      <c r="A23" t="str">
        <f>Sheet1!A23</f>
        <v>Transport</v>
      </c>
      <c r="B23">
        <f>Sheet1!B23*11630/10^6</f>
        <v>0</v>
      </c>
      <c r="C23">
        <f>Sheet1!C23*11630/10^6</f>
        <v>0</v>
      </c>
      <c r="D23">
        <f>Sheet1!D23*11630/10^6</f>
        <v>14.24675</v>
      </c>
      <c r="E23">
        <f>Sheet1!E23*11630/10^6</f>
        <v>2.3259999999999999E-2</v>
      </c>
      <c r="F23">
        <f>Sheet1!F23*11630/10^6</f>
        <v>0</v>
      </c>
      <c r="G23">
        <f>Sheet1!G23*11630/10^6</f>
        <v>0</v>
      </c>
      <c r="H23">
        <f>Sheet1!H23*11630/10^6</f>
        <v>0</v>
      </c>
      <c r="I23">
        <f>Sheet1!I23*11630/10^6</f>
        <v>0</v>
      </c>
      <c r="J23" s="6">
        <f>Sheet1!J23*11630/10^6</f>
        <v>5.815E-2</v>
      </c>
      <c r="K23">
        <f>Sheet1!K23*11630/10^6</f>
        <v>0</v>
      </c>
      <c r="L23">
        <f>Sheet1!L23*11630/10^6</f>
        <v>14.32816</v>
      </c>
      <c r="M23">
        <f>Sheet1!M23*11630/10^6</f>
        <v>0</v>
      </c>
    </row>
    <row r="24" spans="1:13" x14ac:dyDescent="0.35">
      <c r="A24" t="str">
        <f>Sheet1!A24</f>
        <v>Residential</v>
      </c>
      <c r="B24">
        <f>Sheet1!B24*11630/10^6</f>
        <v>0.89551000000000003</v>
      </c>
      <c r="C24">
        <f>Sheet1!C24*11630/10^6</f>
        <v>0</v>
      </c>
      <c r="D24">
        <f>Sheet1!D24*11630/10^6</f>
        <v>0.30237999999999998</v>
      </c>
      <c r="E24">
        <f>Sheet1!E24*11630/10^6</f>
        <v>0.41868</v>
      </c>
      <c r="F24">
        <f>Sheet1!F24*11630/10^6</f>
        <v>0</v>
      </c>
      <c r="G24">
        <f>Sheet1!G24*11630/10^6</f>
        <v>0</v>
      </c>
      <c r="H24">
        <f>Sheet1!H24*11630/10^6</f>
        <v>0</v>
      </c>
      <c r="I24">
        <f>Sheet1!I24*11630/10^6</f>
        <v>12.59529</v>
      </c>
      <c r="J24" s="6">
        <f>Sheet1!J24*11630/10^6</f>
        <v>4.68689</v>
      </c>
      <c r="K24">
        <f>Sheet1!K24*11630/10^6</f>
        <v>1.1048500000000001</v>
      </c>
      <c r="L24">
        <f>Sheet1!L24*11630/10^6</f>
        <v>20.003599999999999</v>
      </c>
      <c r="M24">
        <f>Sheet1!M24*11630/10^6</f>
        <v>0</v>
      </c>
    </row>
    <row r="25" spans="1:13" x14ac:dyDescent="0.35">
      <c r="A25" t="str">
        <f>Sheet1!A25</f>
        <v>Commercial and public services</v>
      </c>
      <c r="B25">
        <f>Sheet1!B25*11630/10^6</f>
        <v>0.56986999999999999</v>
      </c>
      <c r="C25">
        <f>Sheet1!C25*11630/10^6</f>
        <v>0</v>
      </c>
      <c r="D25">
        <f>Sheet1!D25*11630/10^6</f>
        <v>0.24423</v>
      </c>
      <c r="E25">
        <f>Sheet1!E25*11630/10^6</f>
        <v>0.26749000000000001</v>
      </c>
      <c r="F25">
        <f>Sheet1!F25*11630/10^6</f>
        <v>0</v>
      </c>
      <c r="G25">
        <f>Sheet1!G25*11630/10^6</f>
        <v>0</v>
      </c>
      <c r="H25">
        <f>Sheet1!H25*11630/10^6</f>
        <v>0</v>
      </c>
      <c r="I25">
        <f>Sheet1!I25*11630/10^6</f>
        <v>0.31401000000000001</v>
      </c>
      <c r="J25" s="6">
        <f>Sheet1!J25*11630/10^6</f>
        <v>2.27948</v>
      </c>
      <c r="K25">
        <f>Sheet1!K25*11630/10^6</f>
        <v>0.37215999999999999</v>
      </c>
      <c r="L25">
        <f>Sheet1!L25*11630/10^6</f>
        <v>4.0472400000000004</v>
      </c>
      <c r="M25">
        <f>Sheet1!M25*11630/10^6</f>
        <v>0</v>
      </c>
    </row>
    <row r="26" spans="1:13" x14ac:dyDescent="0.35">
      <c r="A26" t="str">
        <f>Sheet1!A26</f>
        <v>Agriculture/forestry</v>
      </c>
      <c r="B26">
        <f>Sheet1!B26*11630/10^6</f>
        <v>0</v>
      </c>
      <c r="C26">
        <f>Sheet1!C26*11630/10^6</f>
        <v>0</v>
      </c>
      <c r="D26">
        <f>Sheet1!D26*11630/10^6</f>
        <v>0.43031000000000003</v>
      </c>
      <c r="E26">
        <f>Sheet1!E26*11630/10^6</f>
        <v>0</v>
      </c>
      <c r="F26">
        <f>Sheet1!F26*11630/10^6</f>
        <v>0</v>
      </c>
      <c r="G26">
        <f>Sheet1!G26*11630/10^6</f>
        <v>0</v>
      </c>
      <c r="H26">
        <f>Sheet1!H26*11630/10^6</f>
        <v>0</v>
      </c>
      <c r="I26">
        <f>Sheet1!I26*11630/10^6</f>
        <v>0</v>
      </c>
      <c r="J26" s="6">
        <f>Sheet1!J26*11630/10^6</f>
        <v>5.815E-2</v>
      </c>
      <c r="K26">
        <f>Sheet1!K26*11630/10^6</f>
        <v>0</v>
      </c>
      <c r="L26">
        <f>Sheet1!L26*11630/10^6</f>
        <v>0.48846000000000001</v>
      </c>
      <c r="M26">
        <f>Sheet1!M26*11630/10^6</f>
        <v>0</v>
      </c>
    </row>
    <row r="27" spans="1:13" x14ac:dyDescent="0.35">
      <c r="A27" t="str">
        <f>Sheet1!A27</f>
        <v>Fishing</v>
      </c>
      <c r="B27">
        <f>Sheet1!B27*11630/10^6</f>
        <v>0</v>
      </c>
      <c r="C27">
        <f>Sheet1!C27*11630/10^6</f>
        <v>0</v>
      </c>
      <c r="D27">
        <f>Sheet1!D27*11630/10^6</f>
        <v>0</v>
      </c>
      <c r="E27">
        <f>Sheet1!E27*11630/10^6</f>
        <v>0</v>
      </c>
      <c r="F27">
        <f>Sheet1!F27*11630/10^6</f>
        <v>0</v>
      </c>
      <c r="G27">
        <f>Sheet1!G27*11630/10^6</f>
        <v>0</v>
      </c>
      <c r="H27">
        <f>Sheet1!H27*11630/10^6</f>
        <v>0</v>
      </c>
      <c r="I27">
        <f>Sheet1!I27*11630/10^6</f>
        <v>0</v>
      </c>
      <c r="J27" s="6">
        <f>Sheet1!J27*11630/10^6</f>
        <v>0</v>
      </c>
      <c r="K27">
        <f>Sheet1!K27*11630/10^6</f>
        <v>0</v>
      </c>
      <c r="L27">
        <f>Sheet1!L27*11630/10^6</f>
        <v>0</v>
      </c>
      <c r="M27">
        <f>Sheet1!M27*11630/10^6</f>
        <v>0</v>
      </c>
    </row>
    <row r="28" spans="1:13" x14ac:dyDescent="0.35">
      <c r="A28" t="str">
        <f>Sheet1!A28</f>
        <v>Non-specified</v>
      </c>
      <c r="B28">
        <f>Sheet1!B28*11630/10^6</f>
        <v>0</v>
      </c>
      <c r="C28">
        <f>Sheet1!C28*11630/10^6</f>
        <v>0</v>
      </c>
      <c r="D28">
        <f>Sheet1!D28*11630/10^6</f>
        <v>0</v>
      </c>
      <c r="E28">
        <f>Sheet1!E28*11630/10^6</f>
        <v>0</v>
      </c>
      <c r="F28">
        <f>Sheet1!F28*11630/10^6</f>
        <v>0</v>
      </c>
      <c r="G28">
        <f>Sheet1!G28*11630/10^6</f>
        <v>0</v>
      </c>
      <c r="H28">
        <f>Sheet1!H28*11630/10^6</f>
        <v>0</v>
      </c>
      <c r="I28">
        <f>Sheet1!I28*11630/10^6</f>
        <v>0</v>
      </c>
      <c r="J28" s="6">
        <f>Sheet1!J28*11630/10^6</f>
        <v>0</v>
      </c>
      <c r="K28">
        <f>Sheet1!K28*11630/10^6</f>
        <v>0</v>
      </c>
      <c r="L28">
        <f>Sheet1!L28*11630/10^6</f>
        <v>0</v>
      </c>
      <c r="M28">
        <f>Sheet1!M28*11630/10^6</f>
        <v>0</v>
      </c>
    </row>
    <row r="29" spans="1:13" x14ac:dyDescent="0.35">
      <c r="A29" t="str">
        <f>Sheet1!A29</f>
        <v>Non-energy use</v>
      </c>
      <c r="B29">
        <f>Sheet1!B29*11630/10^6</f>
        <v>0</v>
      </c>
      <c r="C29">
        <f>Sheet1!C29*11630/10^6</f>
        <v>0</v>
      </c>
      <c r="D29">
        <f>Sheet1!D29*11630/10^6</f>
        <v>1.13974</v>
      </c>
      <c r="E29">
        <f>Sheet1!E29*11630/10^6</f>
        <v>0</v>
      </c>
      <c r="F29">
        <f>Sheet1!F29*11630/10^6</f>
        <v>0</v>
      </c>
      <c r="G29">
        <f>Sheet1!G29*11630/10^6</f>
        <v>0</v>
      </c>
      <c r="H29">
        <f>Sheet1!H29*11630/10^6</f>
        <v>0</v>
      </c>
      <c r="I29">
        <f>Sheet1!I29*11630/10^6</f>
        <v>0</v>
      </c>
      <c r="J29" s="6">
        <f>Sheet1!J29*11630/10^6</f>
        <v>0</v>
      </c>
      <c r="K29">
        <f>Sheet1!K29*11630/10^6</f>
        <v>0</v>
      </c>
      <c r="L29">
        <f>Sheet1!L29*11630/10^6</f>
        <v>1.13974</v>
      </c>
      <c r="M29">
        <f>Sheet1!M29*11630/10^6</f>
        <v>0</v>
      </c>
    </row>
    <row r="30" spans="1:13" x14ac:dyDescent="0.35">
      <c r="A30" s="2"/>
      <c r="B30" s="2">
        <f>Sheet1!B30*11630/10^6</f>
        <v>4.52407</v>
      </c>
      <c r="C30" s="2">
        <f>Sheet1!C30*11630/10^6</f>
        <v>0</v>
      </c>
      <c r="D30" s="2">
        <f>Sheet1!D30*11630/10^6</f>
        <v>17.75901</v>
      </c>
      <c r="E30" s="2">
        <f>Sheet1!E30*11630/10^6</f>
        <v>1.7212400000000001</v>
      </c>
      <c r="F30" s="2">
        <f>Sheet1!F30*11630/10^6</f>
        <v>0</v>
      </c>
      <c r="G30" s="2">
        <f>Sheet1!G30*11630/10^6</f>
        <v>0</v>
      </c>
      <c r="H30" s="2">
        <f>Sheet1!H30*11630/10^6</f>
        <v>0</v>
      </c>
      <c r="I30" s="2">
        <f>Sheet1!I30*11630/10^6</f>
        <v>13.107010000000001</v>
      </c>
      <c r="J30" s="2">
        <f>Sheet1!J30*11630/10^6</f>
        <v>11.44392</v>
      </c>
      <c r="K30" s="2">
        <f>Sheet1!K30*11630/10^6</f>
        <v>1.48864</v>
      </c>
      <c r="L30" s="2">
        <f>Sheet1!L30*11630/10^6</f>
        <v>50.043889999999998</v>
      </c>
      <c r="M30" s="2">
        <f>Sheet1!M30*11630/10^6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C9-3D44-465B-9C3F-638E8071DDE1}">
  <dimension ref="A1:R65"/>
  <sheetViews>
    <sheetView workbookViewId="0">
      <selection activeCell="N47" sqref="N47"/>
    </sheetView>
  </sheetViews>
  <sheetFormatPr defaultRowHeight="14.5" x14ac:dyDescent="0.35"/>
  <cols>
    <col min="1" max="1" width="27.1796875" bestFit="1" customWidth="1"/>
    <col min="14" max="14" width="11.81640625" bestFit="1" customWidth="1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100</v>
      </c>
    </row>
    <row r="2" spans="1:15" x14ac:dyDescent="0.35">
      <c r="A2" t="s">
        <v>11</v>
      </c>
      <c r="B2">
        <v>3520</v>
      </c>
      <c r="G2">
        <v>485</v>
      </c>
      <c r="H2">
        <v>2</v>
      </c>
      <c r="I2">
        <v>734</v>
      </c>
      <c r="L2">
        <f>SUM(B2:K2)</f>
        <v>4741</v>
      </c>
      <c r="N2" s="1" t="s">
        <v>76</v>
      </c>
      <c r="O2" s="1">
        <f>(G2+H2+I2)/L2</f>
        <v>0.25754060324825984</v>
      </c>
    </row>
    <row r="3" spans="1:15" x14ac:dyDescent="0.35">
      <c r="A3" t="s">
        <v>12</v>
      </c>
      <c r="B3">
        <v>938</v>
      </c>
      <c r="C3">
        <v>949</v>
      </c>
      <c r="D3">
        <v>1093</v>
      </c>
      <c r="E3">
        <v>185</v>
      </c>
      <c r="J3">
        <v>265</v>
      </c>
      <c r="L3">
        <f>SUM(B3:K3)</f>
        <v>3430</v>
      </c>
      <c r="N3" s="1" t="s">
        <v>101</v>
      </c>
      <c r="O3" s="1">
        <f>B2/L2</f>
        <v>0.74245939675174011</v>
      </c>
    </row>
    <row r="4" spans="1:15" x14ac:dyDescent="0.35">
      <c r="A4" t="s">
        <v>13</v>
      </c>
      <c r="B4">
        <v>-324</v>
      </c>
      <c r="D4">
        <v>-218</v>
      </c>
      <c r="I4">
        <v>-168</v>
      </c>
      <c r="J4">
        <v>-588</v>
      </c>
      <c r="L4">
        <f>SUM(B4:K4)</f>
        <v>-1298</v>
      </c>
      <c r="N4" t="s">
        <v>103</v>
      </c>
    </row>
    <row r="5" spans="1:15" x14ac:dyDescent="0.35">
      <c r="A5" t="s">
        <v>14</v>
      </c>
      <c r="L5">
        <f t="shared" ref="L5:L7" si="0">SUM(B5:I5)</f>
        <v>0</v>
      </c>
      <c r="N5" t="s">
        <v>104</v>
      </c>
    </row>
    <row r="6" spans="1:15" x14ac:dyDescent="0.35">
      <c r="A6" t="s">
        <v>15</v>
      </c>
      <c r="D6">
        <v>-10</v>
      </c>
      <c r="L6">
        <f t="shared" si="0"/>
        <v>-10</v>
      </c>
      <c r="N6" t="s">
        <v>78</v>
      </c>
    </row>
    <row r="7" spans="1:15" x14ac:dyDescent="0.35">
      <c r="A7" t="s">
        <v>16</v>
      </c>
      <c r="B7">
        <v>-23</v>
      </c>
      <c r="C7">
        <v>-79</v>
      </c>
      <c r="D7">
        <v>-6</v>
      </c>
      <c r="L7">
        <f t="shared" si="0"/>
        <v>-108</v>
      </c>
      <c r="N7" t="s">
        <v>77</v>
      </c>
    </row>
    <row r="8" spans="1:15" x14ac:dyDescent="0.35">
      <c r="A8" s="2" t="s">
        <v>17</v>
      </c>
      <c r="B8" s="2">
        <f>B2+B3+B4+B5+B6+B7</f>
        <v>4111</v>
      </c>
      <c r="C8" s="2">
        <f t="shared" ref="C8:G8" si="1">C2+C3+C4+C5+C6+C7</f>
        <v>870</v>
      </c>
      <c r="D8" s="2">
        <f t="shared" si="1"/>
        <v>859</v>
      </c>
      <c r="E8" s="2">
        <f t="shared" si="1"/>
        <v>185</v>
      </c>
      <c r="F8" s="2">
        <f t="shared" si="1"/>
        <v>0</v>
      </c>
      <c r="G8" s="2">
        <f t="shared" si="1"/>
        <v>485</v>
      </c>
      <c r="H8" s="2">
        <f>H2+H3+H4+H5+H6+H7</f>
        <v>2</v>
      </c>
      <c r="I8" s="2">
        <f t="shared" ref="I8:K8" si="2">I2+I3+I4+I5+I6+I7</f>
        <v>566</v>
      </c>
      <c r="J8" s="2">
        <f t="shared" si="2"/>
        <v>-323</v>
      </c>
      <c r="K8" s="2">
        <f t="shared" si="2"/>
        <v>0</v>
      </c>
      <c r="L8" s="3">
        <f>SUM(B8:J8)</f>
        <v>6755</v>
      </c>
      <c r="N8" t="s">
        <v>79</v>
      </c>
    </row>
    <row r="9" spans="1:15" x14ac:dyDescent="0.35">
      <c r="A9" t="s">
        <v>18</v>
      </c>
      <c r="N9" t="s">
        <v>105</v>
      </c>
    </row>
    <row r="10" spans="1:15" x14ac:dyDescent="0.35">
      <c r="A10" t="s">
        <v>19</v>
      </c>
      <c r="B10">
        <v>-1</v>
      </c>
      <c r="D10">
        <v>-2</v>
      </c>
      <c r="K10">
        <v>-3</v>
      </c>
      <c r="N10" t="s">
        <v>80</v>
      </c>
    </row>
    <row r="11" spans="1:15" x14ac:dyDescent="0.35">
      <c r="A11" t="s">
        <v>20</v>
      </c>
      <c r="B11">
        <v>-3197</v>
      </c>
      <c r="D11">
        <v>-14</v>
      </c>
      <c r="E11">
        <v>-7</v>
      </c>
      <c r="G11">
        <v>-485</v>
      </c>
      <c r="H11">
        <v>-2</v>
      </c>
      <c r="J11">
        <v>1509</v>
      </c>
      <c r="L11">
        <f>SUM(B11:J11)</f>
        <v>-2196</v>
      </c>
    </row>
    <row r="12" spans="1:15" x14ac:dyDescent="0.35">
      <c r="A12" t="s">
        <v>21</v>
      </c>
      <c r="B12">
        <v>-81</v>
      </c>
      <c r="J12">
        <v>18</v>
      </c>
      <c r="K12">
        <v>36</v>
      </c>
      <c r="L12">
        <f>SUM(B12:K12)</f>
        <v>-27</v>
      </c>
      <c r="N12" s="1" t="s">
        <v>81</v>
      </c>
      <c r="O12" s="1"/>
    </row>
    <row r="13" spans="1:15" x14ac:dyDescent="0.35">
      <c r="A13" t="s">
        <v>29</v>
      </c>
      <c r="B13">
        <v>-52</v>
      </c>
      <c r="D13">
        <v>-15</v>
      </c>
      <c r="E13">
        <v>-42</v>
      </c>
      <c r="I13">
        <v>-17</v>
      </c>
      <c r="K13">
        <v>99</v>
      </c>
      <c r="L13">
        <f>SUM(B13:K13)</f>
        <v>-27</v>
      </c>
      <c r="N13" s="1" t="s">
        <v>76</v>
      </c>
      <c r="O13" s="1">
        <f>(B11/(B11+D11+E11+G11+H11))*100</f>
        <v>86.288798920377857</v>
      </c>
    </row>
    <row r="14" spans="1:15" x14ac:dyDescent="0.35">
      <c r="A14" t="s">
        <v>30</v>
      </c>
      <c r="L14">
        <f t="shared" ref="L14" si="3">SUM(B14:J14)</f>
        <v>0</v>
      </c>
      <c r="N14" s="1" t="s">
        <v>82</v>
      </c>
      <c r="O14" s="1">
        <f>(D11/(B11+D11+E11+G11+H11))*100</f>
        <v>0.37786774628879888</v>
      </c>
    </row>
    <row r="15" spans="1:15" x14ac:dyDescent="0.35">
      <c r="A15" t="s">
        <v>22</v>
      </c>
      <c r="C15">
        <v>-870</v>
      </c>
      <c r="D15">
        <v>830</v>
      </c>
      <c r="L15">
        <f t="shared" ref="L15:L16" si="4">SUM(B15:K15)</f>
        <v>-40</v>
      </c>
      <c r="N15" s="1" t="s">
        <v>3</v>
      </c>
      <c r="O15" s="1">
        <f>(E11/(B11+D11+E11+G11+H11))*100</f>
        <v>0.18893387314439944</v>
      </c>
    </row>
    <row r="16" spans="1:15" x14ac:dyDescent="0.35">
      <c r="A16" t="s">
        <v>23</v>
      </c>
      <c r="B16">
        <v>-249</v>
      </c>
      <c r="L16">
        <f t="shared" si="4"/>
        <v>-249</v>
      </c>
      <c r="N16" s="1" t="s">
        <v>5</v>
      </c>
      <c r="O16" s="1">
        <f>(G11/(B11+D11+E11+H11+G11))*100</f>
        <v>13.090418353576247</v>
      </c>
    </row>
    <row r="17" spans="1:18" x14ac:dyDescent="0.35">
      <c r="A17" t="s">
        <v>24</v>
      </c>
      <c r="L17">
        <f t="shared" ref="L17" si="5">SUM(B17:J17)</f>
        <v>0</v>
      </c>
      <c r="N17" s="1" t="s">
        <v>83</v>
      </c>
      <c r="O17" s="1">
        <f>(H11/(B11+D11+E11+G11+H11))*100</f>
        <v>5.3981106612685556E-2</v>
      </c>
    </row>
    <row r="18" spans="1:18" x14ac:dyDescent="0.35">
      <c r="A18" t="s">
        <v>25</v>
      </c>
      <c r="I18">
        <v>-51</v>
      </c>
      <c r="L18">
        <f t="shared" ref="L18:L20" si="6">SUM(B18:K18)</f>
        <v>-51</v>
      </c>
    </row>
    <row r="19" spans="1:18" x14ac:dyDescent="0.35">
      <c r="A19" t="s">
        <v>26</v>
      </c>
      <c r="B19">
        <v>-150</v>
      </c>
      <c r="D19">
        <v>-138</v>
      </c>
      <c r="J19">
        <v>-134</v>
      </c>
      <c r="K19">
        <v>-1</v>
      </c>
      <c r="L19">
        <f t="shared" si="6"/>
        <v>-423</v>
      </c>
      <c r="N19" s="1" t="s">
        <v>84</v>
      </c>
      <c r="O19" s="1"/>
      <c r="P19" s="1"/>
    </row>
    <row r="20" spans="1:18" x14ac:dyDescent="0.35">
      <c r="A20" t="s">
        <v>27</v>
      </c>
      <c r="B20">
        <v>-3</v>
      </c>
      <c r="E20">
        <v>-1</v>
      </c>
      <c r="J20">
        <v>-117</v>
      </c>
      <c r="K20">
        <v>-9</v>
      </c>
      <c r="L20">
        <f t="shared" si="6"/>
        <v>-130</v>
      </c>
      <c r="N20" s="1">
        <f>(J11/(ABS(SUM(B11:H11))))*100</f>
        <v>40.728744939271252</v>
      </c>
      <c r="O20" s="1"/>
      <c r="P20" s="1"/>
    </row>
    <row r="21" spans="1:18" x14ac:dyDescent="0.35">
      <c r="A21" t="s">
        <v>28</v>
      </c>
      <c r="B21" s="2">
        <f>SUM(B8+SUM(B9:B20))</f>
        <v>378</v>
      </c>
      <c r="C21" s="2">
        <f t="shared" ref="C21:K21" si="7">SUM(C8+SUM(C9:C20))</f>
        <v>0</v>
      </c>
      <c r="D21" s="2">
        <f t="shared" si="7"/>
        <v>1520</v>
      </c>
      <c r="E21" s="2">
        <f t="shared" si="7"/>
        <v>135</v>
      </c>
      <c r="F21" s="2">
        <f t="shared" si="7"/>
        <v>0</v>
      </c>
      <c r="G21" s="2">
        <f t="shared" si="7"/>
        <v>0</v>
      </c>
      <c r="H21" s="2">
        <f t="shared" si="7"/>
        <v>0</v>
      </c>
      <c r="I21" s="2">
        <f t="shared" si="7"/>
        <v>498</v>
      </c>
      <c r="J21" s="2">
        <f t="shared" si="7"/>
        <v>953</v>
      </c>
      <c r="K21" s="2">
        <f t="shared" si="7"/>
        <v>122</v>
      </c>
      <c r="L21" s="3">
        <f>SUM(B21:K21)</f>
        <v>3606</v>
      </c>
      <c r="N21" s="1" t="s">
        <v>85</v>
      </c>
      <c r="O21" s="1"/>
      <c r="P21" s="1" t="s">
        <v>86</v>
      </c>
      <c r="R21" t="s">
        <v>87</v>
      </c>
    </row>
    <row r="22" spans="1:18" x14ac:dyDescent="0.35">
      <c r="A22" t="s">
        <v>31</v>
      </c>
      <c r="B22">
        <v>197</v>
      </c>
      <c r="D22">
        <v>112</v>
      </c>
      <c r="E22">
        <v>76</v>
      </c>
      <c r="I22">
        <v>17</v>
      </c>
      <c r="J22">
        <v>351</v>
      </c>
      <c r="K22">
        <v>1</v>
      </c>
      <c r="L22">
        <f>SUM(B22:K22)</f>
        <v>754</v>
      </c>
      <c r="N22" s="1">
        <f>(J12/ABS(B12))*100</f>
        <v>22.222222222222221</v>
      </c>
      <c r="O22" s="1"/>
      <c r="P22" s="1">
        <f>(K12/ABS(B12))*100</f>
        <v>44.444444444444443</v>
      </c>
      <c r="R22">
        <f>((J12+K12)/ABS(B12))*100</f>
        <v>66.666666666666657</v>
      </c>
    </row>
    <row r="23" spans="1:18" x14ac:dyDescent="0.35">
      <c r="A23" t="s">
        <v>32</v>
      </c>
      <c r="D23">
        <v>1185</v>
      </c>
      <c r="J23">
        <v>6</v>
      </c>
      <c r="L23">
        <f t="shared" ref="L23:L29" si="8">SUM(B23:K23)</f>
        <v>1191</v>
      </c>
    </row>
    <row r="24" spans="1:18" x14ac:dyDescent="0.35">
      <c r="A24" t="s">
        <v>33</v>
      </c>
      <c r="B24">
        <v>74</v>
      </c>
      <c r="D24">
        <v>84</v>
      </c>
      <c r="E24">
        <v>35</v>
      </c>
      <c r="I24">
        <v>445</v>
      </c>
      <c r="J24">
        <v>407</v>
      </c>
      <c r="K24">
        <v>95</v>
      </c>
      <c r="L24">
        <f t="shared" si="8"/>
        <v>1140</v>
      </c>
      <c r="N24" s="1" t="s">
        <v>88</v>
      </c>
    </row>
    <row r="25" spans="1:18" x14ac:dyDescent="0.35">
      <c r="A25" t="s">
        <v>34</v>
      </c>
      <c r="B25">
        <v>109</v>
      </c>
      <c r="D25">
        <v>51</v>
      </c>
      <c r="E25">
        <v>25</v>
      </c>
      <c r="I25">
        <v>36</v>
      </c>
      <c r="J25">
        <v>184</v>
      </c>
      <c r="K25">
        <v>30</v>
      </c>
      <c r="L25">
        <f t="shared" si="8"/>
        <v>435</v>
      </c>
      <c r="N25" s="1">
        <f>(K13/ABS(B13+D13+E13+I13))*100</f>
        <v>78.571428571428569</v>
      </c>
    </row>
    <row r="26" spans="1:18" x14ac:dyDescent="0.35">
      <c r="A26" t="s">
        <v>35</v>
      </c>
      <c r="D26">
        <v>12</v>
      </c>
      <c r="J26">
        <v>6</v>
      </c>
      <c r="L26">
        <f t="shared" si="8"/>
        <v>18</v>
      </c>
    </row>
    <row r="27" spans="1:18" x14ac:dyDescent="0.35">
      <c r="A27" t="s">
        <v>36</v>
      </c>
      <c r="L27">
        <f t="shared" si="8"/>
        <v>0</v>
      </c>
      <c r="N27" s="1" t="s">
        <v>89</v>
      </c>
      <c r="O27" s="1"/>
      <c r="P27" s="1"/>
      <c r="Q27" s="1" t="s">
        <v>94</v>
      </c>
      <c r="R27" s="1"/>
    </row>
    <row r="28" spans="1:18" x14ac:dyDescent="0.35">
      <c r="A28" t="s">
        <v>37</v>
      </c>
      <c r="L28">
        <f t="shared" si="8"/>
        <v>0</v>
      </c>
      <c r="N28" s="1" t="s">
        <v>76</v>
      </c>
      <c r="O28" s="1">
        <f>(B22/L22)*100</f>
        <v>26.127320954907162</v>
      </c>
      <c r="P28" s="1"/>
      <c r="Q28" s="1" t="s">
        <v>76</v>
      </c>
      <c r="R28" s="1">
        <f>(B24/L24)*100</f>
        <v>6.4912280701754383</v>
      </c>
    </row>
    <row r="29" spans="1:18" x14ac:dyDescent="0.35">
      <c r="A29" t="s">
        <v>38</v>
      </c>
      <c r="D29">
        <v>75</v>
      </c>
      <c r="L29">
        <f t="shared" si="8"/>
        <v>75</v>
      </c>
      <c r="N29" s="1" t="s">
        <v>82</v>
      </c>
      <c r="O29" s="1">
        <f>(D22/L22)*100</f>
        <v>14.854111405835543</v>
      </c>
      <c r="P29" s="1"/>
      <c r="Q29" s="1" t="s">
        <v>82</v>
      </c>
      <c r="R29" s="1">
        <f>(D24/L24)*100</f>
        <v>7.3684210526315779</v>
      </c>
    </row>
    <row r="30" spans="1:18" x14ac:dyDescent="0.35">
      <c r="B30" s="1">
        <f t="shared" ref="B30:L30" si="9">SUM(B22:B29)</f>
        <v>380</v>
      </c>
      <c r="C30" s="1">
        <f t="shared" si="9"/>
        <v>0</v>
      </c>
      <c r="D30" s="1">
        <f t="shared" si="9"/>
        <v>1519</v>
      </c>
      <c r="E30" s="1">
        <f t="shared" si="9"/>
        <v>136</v>
      </c>
      <c r="F30" s="1">
        <f t="shared" si="9"/>
        <v>0</v>
      </c>
      <c r="G30" s="1">
        <f t="shared" si="9"/>
        <v>0</v>
      </c>
      <c r="H30" s="1">
        <f t="shared" si="9"/>
        <v>0</v>
      </c>
      <c r="I30" s="1">
        <f t="shared" si="9"/>
        <v>498</v>
      </c>
      <c r="J30" s="1">
        <f t="shared" si="9"/>
        <v>954</v>
      </c>
      <c r="K30" s="1">
        <f t="shared" si="9"/>
        <v>126</v>
      </c>
      <c r="L30" s="1">
        <f t="shared" si="9"/>
        <v>3613</v>
      </c>
      <c r="N30" s="1" t="s">
        <v>69</v>
      </c>
      <c r="O30" s="1">
        <f>(E22/L22)*100</f>
        <v>10.079575596816976</v>
      </c>
      <c r="P30" s="1"/>
      <c r="Q30" s="1" t="s">
        <v>69</v>
      </c>
      <c r="R30" s="1">
        <f>(E24/L24)*100</f>
        <v>3.070175438596491</v>
      </c>
    </row>
    <row r="31" spans="1:18" x14ac:dyDescent="0.35">
      <c r="N31" s="1" t="s">
        <v>90</v>
      </c>
      <c r="O31" s="1">
        <f>(I22/L22)*100</f>
        <v>2.2546419098143233</v>
      </c>
      <c r="P31" s="1"/>
      <c r="Q31" s="1" t="s">
        <v>90</v>
      </c>
      <c r="R31" s="1">
        <f>(I24/L24)*100</f>
        <v>39.035087719298247</v>
      </c>
    </row>
    <row r="32" spans="1:18" x14ac:dyDescent="0.35">
      <c r="N32" s="1" t="s">
        <v>91</v>
      </c>
      <c r="O32" s="1">
        <f>(J22/L22)*100</f>
        <v>46.551724137931032</v>
      </c>
      <c r="P32" s="1"/>
      <c r="Q32" s="1" t="s">
        <v>91</v>
      </c>
      <c r="R32" s="1">
        <f>(J24/L24)*100</f>
        <v>35.701754385964911</v>
      </c>
    </row>
    <row r="33" spans="3:18" x14ac:dyDescent="0.35">
      <c r="F33" t="s">
        <v>102</v>
      </c>
      <c r="H33">
        <f>(L29/L21)*100</f>
        <v>2.0798668885191347</v>
      </c>
      <c r="K33" t="s">
        <v>99</v>
      </c>
      <c r="N33" s="1" t="s">
        <v>92</v>
      </c>
      <c r="O33" s="1">
        <f>(K22/L22)*100</f>
        <v>0.1326259946949602</v>
      </c>
      <c r="P33" s="1"/>
      <c r="Q33" s="1" t="s">
        <v>92</v>
      </c>
      <c r="R33" s="1">
        <f>(K24/L24)*100</f>
        <v>8.3333333333333321</v>
      </c>
    </row>
    <row r="34" spans="3:18" x14ac:dyDescent="0.35">
      <c r="J34" s="1" t="s">
        <v>76</v>
      </c>
      <c r="K34" s="1">
        <f>B19/L19</f>
        <v>0.3546099290780142</v>
      </c>
      <c r="N34" s="1"/>
      <c r="O34" s="1"/>
      <c r="P34" s="1"/>
      <c r="Q34" s="1"/>
      <c r="R34" s="1"/>
    </row>
    <row r="35" spans="3:18" x14ac:dyDescent="0.35">
      <c r="J35" s="1" t="s">
        <v>82</v>
      </c>
      <c r="K35" s="1">
        <f>D19/L19</f>
        <v>0.32624113475177308</v>
      </c>
      <c r="N35" s="1" t="s">
        <v>93</v>
      </c>
      <c r="O35" s="1"/>
      <c r="P35" s="1"/>
      <c r="Q35" s="1"/>
      <c r="R35" s="1"/>
    </row>
    <row r="36" spans="3:18" x14ac:dyDescent="0.35">
      <c r="C36" s="1" t="s">
        <v>111</v>
      </c>
      <c r="D36" s="1">
        <f>(ABS(G11)/(J11+J12))*100</f>
        <v>31.761624099541585</v>
      </c>
      <c r="E36" s="1" t="s">
        <v>106</v>
      </c>
      <c r="F36" s="1">
        <f>ABS(G11+H11)/(J11+J12)*100</f>
        <v>31.892599869024231</v>
      </c>
      <c r="G36" t="s">
        <v>110</v>
      </c>
      <c r="J36" s="1" t="s">
        <v>91</v>
      </c>
      <c r="K36" s="1">
        <f>J19/L19</f>
        <v>0.31678486997635935</v>
      </c>
      <c r="N36" s="1" t="s">
        <v>76</v>
      </c>
      <c r="O36" s="1">
        <f>(B23/L23)*100</f>
        <v>0</v>
      </c>
      <c r="P36" s="1"/>
      <c r="Q36" s="1" t="s">
        <v>95</v>
      </c>
      <c r="R36" s="1"/>
    </row>
    <row r="37" spans="3:18" x14ac:dyDescent="0.35">
      <c r="E37" t="s">
        <v>107</v>
      </c>
      <c r="F37">
        <f>(J11+J12)-ABS(G11+H11)</f>
        <v>1040</v>
      </c>
      <c r="G37" t="s">
        <v>108</v>
      </c>
      <c r="J37" s="1" t="s">
        <v>92</v>
      </c>
      <c r="K37" s="1">
        <f>(K19/L19)</f>
        <v>2.3640661938534278E-3</v>
      </c>
      <c r="N37" s="1" t="s">
        <v>82</v>
      </c>
      <c r="O37" s="1">
        <f>(D23/L23)*100</f>
        <v>99.496221662468514</v>
      </c>
      <c r="P37" s="1"/>
      <c r="Q37" s="1" t="s">
        <v>76</v>
      </c>
      <c r="R37" s="1">
        <f>(B25/L25)*100</f>
        <v>25.057471264367813</v>
      </c>
    </row>
    <row r="38" spans="3:18" x14ac:dyDescent="0.35">
      <c r="F38" t="s">
        <v>109</v>
      </c>
      <c r="G38">
        <f>100-F36</f>
        <v>68.107400130975776</v>
      </c>
      <c r="N38" s="1" t="s">
        <v>69</v>
      </c>
      <c r="O38" s="1">
        <f>(E23/L23)*100</f>
        <v>0</v>
      </c>
      <c r="P38" s="1"/>
      <c r="Q38" s="1" t="s">
        <v>82</v>
      </c>
      <c r="R38" s="1">
        <f>(D25/L25)*100</f>
        <v>11.724137931034482</v>
      </c>
    </row>
    <row r="39" spans="3:18" x14ac:dyDescent="0.35">
      <c r="N39" s="1" t="s">
        <v>90</v>
      </c>
      <c r="O39" s="1">
        <f>(I23/L23)*100</f>
        <v>0</v>
      </c>
      <c r="P39" s="1"/>
      <c r="Q39" s="1" t="s">
        <v>69</v>
      </c>
      <c r="R39" s="1">
        <f>(E25/L25)*100</f>
        <v>5.7471264367816088</v>
      </c>
    </row>
    <row r="40" spans="3:18" x14ac:dyDescent="0.35">
      <c r="N40" s="1" t="s">
        <v>91</v>
      </c>
      <c r="O40" s="1">
        <f>(J23/L23)*100</f>
        <v>0.50377833753148615</v>
      </c>
      <c r="P40" s="1"/>
      <c r="Q40" s="1" t="s">
        <v>90</v>
      </c>
      <c r="R40" s="1">
        <f>(I25/L25)*100</f>
        <v>8.2758620689655178</v>
      </c>
    </row>
    <row r="41" spans="3:18" x14ac:dyDescent="0.35">
      <c r="N41" s="1" t="s">
        <v>92</v>
      </c>
      <c r="O41" s="1">
        <f>(K23/L23)*100</f>
        <v>0</v>
      </c>
      <c r="P41" s="1"/>
      <c r="Q41" s="1" t="s">
        <v>91</v>
      </c>
      <c r="R41" s="1">
        <f>(J25/L25)*100</f>
        <v>42.298850574712645</v>
      </c>
    </row>
    <row r="42" spans="3:18" x14ac:dyDescent="0.35">
      <c r="N42" s="1"/>
      <c r="O42" s="1"/>
      <c r="P42" s="1"/>
      <c r="Q42" s="1" t="s">
        <v>92</v>
      </c>
      <c r="R42" s="1">
        <f>(K25/L25)*100</f>
        <v>6.8965517241379306</v>
      </c>
    </row>
    <row r="44" spans="3:18" x14ac:dyDescent="0.35">
      <c r="N44" t="s">
        <v>96</v>
      </c>
    </row>
    <row r="45" spans="3:18" x14ac:dyDescent="0.35">
      <c r="N45">
        <f>(J20/(J11+J12))*100</f>
        <v>-7.6620825147347738</v>
      </c>
      <c r="O45" t="s">
        <v>98</v>
      </c>
    </row>
    <row r="46" spans="3:18" x14ac:dyDescent="0.35">
      <c r="N46" t="s">
        <v>97</v>
      </c>
    </row>
    <row r="47" spans="3:18" x14ac:dyDescent="0.35">
      <c r="N47">
        <f>(K20/(K12+K13))*100</f>
        <v>-6.666666666666667</v>
      </c>
    </row>
    <row r="63" spans="13:15" x14ac:dyDescent="0.35">
      <c r="M63" t="s">
        <v>112</v>
      </c>
      <c r="N63">
        <f>(pj!L8*1000000)/3531159</f>
        <v>88.546062071971264</v>
      </c>
      <c r="O63" t="s">
        <v>115</v>
      </c>
    </row>
    <row r="64" spans="13:15" x14ac:dyDescent="0.35">
      <c r="M64" t="s">
        <v>113</v>
      </c>
      <c r="N64">
        <f>(pj!L8)*(1000000)/(36527050*0.58)</f>
        <v>14.758558194637899</v>
      </c>
      <c r="O64" t="s">
        <v>114</v>
      </c>
    </row>
    <row r="65" spans="13:15" x14ac:dyDescent="0.35">
      <c r="M65" t="s">
        <v>116</v>
      </c>
      <c r="N65">
        <f>('gwh (2)'!J21*1000)/3531159</f>
        <v>3.1387400000962855</v>
      </c>
      <c r="O65" t="s">
        <v>117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6686-8E36-4D0C-83F1-B897A7E1F909}">
  <dimension ref="A1:M30"/>
  <sheetViews>
    <sheetView topLeftCell="B1" workbookViewId="0">
      <selection activeCell="L22" sqref="L22:L24"/>
    </sheetView>
  </sheetViews>
  <sheetFormatPr defaultRowHeight="14.5" x14ac:dyDescent="0.35"/>
  <cols>
    <col min="1" max="1" width="27.1796875" bestFit="1" customWidth="1"/>
    <col min="2" max="2" width="9.81640625" bestFit="1" customWidth="1"/>
    <col min="4" max="4" width="10.90625" bestFit="1" customWidth="1"/>
    <col min="5" max="5" width="10.1796875" bestFit="1" customWidth="1"/>
    <col min="8" max="8" width="13.26953125" bestFit="1" customWidth="1"/>
    <col min="9" max="9" width="16.54296875" bestFit="1" customWidth="1"/>
  </cols>
  <sheetData>
    <row r="1" spans="1:13" x14ac:dyDescent="0.35">
      <c r="B1" t="str">
        <f>Sheet1!B1</f>
        <v>Coal</v>
      </c>
      <c r="C1" t="str">
        <f>Sheet1!C1</f>
        <v>Crude oil</v>
      </c>
      <c r="D1" t="str">
        <f>Sheet1!D1</f>
        <v>Oil products</v>
      </c>
      <c r="E1" t="str">
        <f>Sheet1!E1</f>
        <v>Natural gas</v>
      </c>
      <c r="F1" t="str">
        <f>Sheet1!F1</f>
        <v>Nuclear</v>
      </c>
      <c r="G1" t="str">
        <f>Sheet1!G1</f>
        <v>Hidro</v>
      </c>
      <c r="H1" t="str">
        <f>Sheet1!H1</f>
        <v>Wind, solar,etc</v>
      </c>
      <c r="I1" t="str">
        <f>Sheet1!I1</f>
        <v>Biofuels and waste</v>
      </c>
      <c r="J1" t="str">
        <f>Sheet1!J1</f>
        <v>Electricity</v>
      </c>
      <c r="K1" t="str">
        <f>Sheet1!K1</f>
        <v>Heat</v>
      </c>
      <c r="L1" t="str">
        <f>Sheet1!L1</f>
        <v>Total</v>
      </c>
    </row>
    <row r="2" spans="1:13" x14ac:dyDescent="0.35">
      <c r="A2" t="str">
        <f>Sheet1!A2</f>
        <v>Production</v>
      </c>
      <c r="B2">
        <f>Sheet4!B2*41868/10^6</f>
        <v>147.37536</v>
      </c>
      <c r="C2">
        <f>Sheet4!C2*41868/10^6</f>
        <v>0</v>
      </c>
      <c r="D2">
        <f>Sheet4!D2*41868/10^6</f>
        <v>0</v>
      </c>
      <c r="E2">
        <f>Sheet4!E2*41868/10^6</f>
        <v>0</v>
      </c>
      <c r="F2">
        <f>Sheet4!F2*41868/10^6</f>
        <v>0</v>
      </c>
      <c r="G2">
        <f>Sheet4!G2*41868/10^6</f>
        <v>20.305980000000002</v>
      </c>
      <c r="H2">
        <f>Sheet4!H2*41868/10^6</f>
        <v>8.3736000000000005E-2</v>
      </c>
      <c r="I2">
        <f>Sheet4!I2*41868/10^6</f>
        <v>30.731112</v>
      </c>
      <c r="J2">
        <f>Sheet4!J2*41868/10^6</f>
        <v>0</v>
      </c>
      <c r="K2">
        <f>Sheet4!K2*41868/10^6</f>
        <v>0</v>
      </c>
      <c r="L2">
        <f>Sheet4!L2*41868/10^6</f>
        <v>198.49618799999999</v>
      </c>
    </row>
    <row r="3" spans="1:13" x14ac:dyDescent="0.35">
      <c r="A3" t="str">
        <f>Sheet1!A3</f>
        <v>Imports</v>
      </c>
      <c r="B3">
        <f>Sheet4!B3*41868/10^6</f>
        <v>39.272184000000003</v>
      </c>
      <c r="C3">
        <f>Sheet4!C3*41868/10^6</f>
        <v>39.732731999999999</v>
      </c>
      <c r="D3">
        <f>Sheet4!D3*41868/10^6</f>
        <v>45.761724000000001</v>
      </c>
      <c r="E3">
        <f>Sheet4!E3*41868/10^6</f>
        <v>7.7455800000000004</v>
      </c>
      <c r="F3">
        <f>Sheet4!F3*41868/10^6</f>
        <v>0</v>
      </c>
      <c r="G3">
        <f>Sheet4!G3*41868/10^6</f>
        <v>0</v>
      </c>
      <c r="H3">
        <f>Sheet4!H3*41868/10^6</f>
        <v>0</v>
      </c>
      <c r="I3">
        <f>Sheet4!I3*41868/10^6</f>
        <v>0</v>
      </c>
      <c r="J3">
        <f>Sheet4!J3*41868/10^6</f>
        <v>11.09502</v>
      </c>
      <c r="K3">
        <f>Sheet4!K3*41868/10^6</f>
        <v>0</v>
      </c>
      <c r="L3">
        <f>Sheet4!L3*41868/10^6</f>
        <v>143.60723999999999</v>
      </c>
    </row>
    <row r="4" spans="1:13" x14ac:dyDescent="0.35">
      <c r="A4" t="str">
        <f>Sheet1!A4</f>
        <v>Exports</v>
      </c>
      <c r="B4">
        <f>Sheet4!B4*41868/10^6</f>
        <v>-13.565232</v>
      </c>
      <c r="C4">
        <f>Sheet4!C4*41868/10^6</f>
        <v>0</v>
      </c>
      <c r="D4">
        <f>Sheet4!D4*41868/10^6</f>
        <v>-9.127224</v>
      </c>
      <c r="E4">
        <f>Sheet4!E4*41868/10^6</f>
        <v>0</v>
      </c>
      <c r="F4">
        <f>Sheet4!F4*41868/10^6</f>
        <v>0</v>
      </c>
      <c r="G4">
        <f>Sheet4!G4*41868/10^6</f>
        <v>0</v>
      </c>
      <c r="H4">
        <f>Sheet4!H4*41868/10^6</f>
        <v>0</v>
      </c>
      <c r="I4">
        <f>Sheet4!I4*41868/10^6</f>
        <v>-7.0338240000000001</v>
      </c>
      <c r="J4">
        <f>Sheet4!J4*41868/10^6</f>
        <v>-24.618383999999999</v>
      </c>
      <c r="K4">
        <f>Sheet4!K4*41868/10^6</f>
        <v>0</v>
      </c>
      <c r="L4">
        <f>Sheet4!L4*41868/10^6</f>
        <v>-54.344664000000002</v>
      </c>
    </row>
    <row r="5" spans="1:13" x14ac:dyDescent="0.35">
      <c r="A5" t="str">
        <f>Sheet1!A5</f>
        <v>International marine bunkers</v>
      </c>
      <c r="B5">
        <f>Sheet4!B5*41868/10^6</f>
        <v>0</v>
      </c>
      <c r="C5">
        <f>Sheet4!C5*41868/10^6</f>
        <v>0</v>
      </c>
      <c r="D5">
        <f>Sheet4!D5*41868/10^6</f>
        <v>0</v>
      </c>
      <c r="E5">
        <f>Sheet4!E5*41868/10^6</f>
        <v>0</v>
      </c>
      <c r="F5">
        <f>Sheet4!F5*41868/10^6</f>
        <v>0</v>
      </c>
      <c r="G5">
        <f>Sheet4!G5*41868/10^6</f>
        <v>0</v>
      </c>
      <c r="H5">
        <f>Sheet4!H5*41868/10^6</f>
        <v>0</v>
      </c>
      <c r="I5">
        <f>Sheet4!I5*41868/10^6</f>
        <v>0</v>
      </c>
      <c r="J5">
        <f>Sheet4!J5*41868/10^6</f>
        <v>0</v>
      </c>
      <c r="K5">
        <f>Sheet4!K5*41868/10^6</f>
        <v>0</v>
      </c>
      <c r="L5">
        <f>Sheet4!L5*41868/10^6</f>
        <v>0</v>
      </c>
    </row>
    <row r="6" spans="1:13" x14ac:dyDescent="0.35">
      <c r="A6" t="str">
        <f>Sheet1!A6</f>
        <v>International aviation bunkers</v>
      </c>
      <c r="B6">
        <f>Sheet4!B6*41868/10^6</f>
        <v>0</v>
      </c>
      <c r="C6">
        <f>Sheet4!C6*41868/10^6</f>
        <v>0</v>
      </c>
      <c r="D6">
        <f>Sheet4!D6*41868/10^6</f>
        <v>-0.41868</v>
      </c>
      <c r="E6">
        <f>Sheet4!E6*41868/10^6</f>
        <v>0</v>
      </c>
      <c r="F6">
        <f>Sheet4!F6*41868/10^6</f>
        <v>0</v>
      </c>
      <c r="G6">
        <f>Sheet4!G6*41868/10^6</f>
        <v>0</v>
      </c>
      <c r="H6">
        <f>Sheet4!H6*41868/10^6</f>
        <v>0</v>
      </c>
      <c r="I6">
        <f>Sheet4!I6*41868/10^6</f>
        <v>0</v>
      </c>
      <c r="J6">
        <f>Sheet4!J6*41868/10^6</f>
        <v>0</v>
      </c>
      <c r="K6">
        <f>Sheet4!K6*41868/10^6</f>
        <v>0</v>
      </c>
      <c r="L6">
        <f>Sheet4!L6*41868/10^6</f>
        <v>-0.41868</v>
      </c>
    </row>
    <row r="7" spans="1:13" x14ac:dyDescent="0.35">
      <c r="A7" t="str">
        <f>Sheet1!A7</f>
        <v>Stock changes</v>
      </c>
      <c r="B7">
        <f>Sheet4!B7*41868/10^6</f>
        <v>-0.96296400000000004</v>
      </c>
      <c r="C7">
        <f>Sheet4!C7*41868/10^6</f>
        <v>-3.307572</v>
      </c>
      <c r="D7">
        <f>Sheet4!D7*41868/10^6</f>
        <v>-0.25120799999999999</v>
      </c>
      <c r="E7">
        <f>Sheet4!E7*41868/10^6</f>
        <v>0</v>
      </c>
      <c r="F7">
        <f>Sheet4!F7*41868/10^6</f>
        <v>0</v>
      </c>
      <c r="G7">
        <f>Sheet4!G7*41868/10^6</f>
        <v>0</v>
      </c>
      <c r="H7">
        <f>Sheet4!H7*41868/10^6</f>
        <v>0</v>
      </c>
      <c r="I7">
        <f>Sheet4!I7*41868/10^6</f>
        <v>0</v>
      </c>
      <c r="J7">
        <f>Sheet4!J7*41868/10^6</f>
        <v>0</v>
      </c>
      <c r="K7">
        <f>Sheet4!K7*41868/10^6</f>
        <v>0</v>
      </c>
      <c r="L7">
        <f>Sheet4!L7*41868/10^6</f>
        <v>-4.521744</v>
      </c>
    </row>
    <row r="8" spans="1:13" x14ac:dyDescent="0.35">
      <c r="A8" s="4" t="str">
        <f>Sheet1!A8</f>
        <v>TES</v>
      </c>
      <c r="B8" s="4">
        <f>Sheet4!B8*41868/10^6</f>
        <v>172.119348</v>
      </c>
      <c r="C8" s="4">
        <f>Sheet4!C8*41868/10^6</f>
        <v>36.425159999999998</v>
      </c>
      <c r="D8" s="4">
        <f>Sheet4!D8*41868/10^6</f>
        <v>35.964612000000002</v>
      </c>
      <c r="E8" s="4">
        <f>Sheet4!E8*41868/10^6</f>
        <v>7.7455800000000004</v>
      </c>
      <c r="F8" s="4">
        <f>Sheet4!F8*41868/10^6</f>
        <v>0</v>
      </c>
      <c r="G8" s="4">
        <f>Sheet4!G8*41868/10^6</f>
        <v>20.305980000000002</v>
      </c>
      <c r="H8" s="4">
        <f>Sheet4!H8*41868/10^6</f>
        <v>8.3736000000000005E-2</v>
      </c>
      <c r="I8" s="4">
        <f>Sheet4!I8*41868/10^6</f>
        <v>23.697288</v>
      </c>
      <c r="J8" s="4">
        <f>Sheet4!J8*41868/10^6</f>
        <v>-13.523364000000001</v>
      </c>
      <c r="K8" s="4">
        <f>Sheet4!K8*41868/10^6</f>
        <v>0</v>
      </c>
      <c r="L8" s="4">
        <f>Sheet4!L8*41868/10^6</f>
        <v>282.81833999999998</v>
      </c>
      <c r="M8" s="4">
        <f>Sheet1!M8*41868/10^6</f>
        <v>312.67022400000002</v>
      </c>
    </row>
    <row r="9" spans="1:13" x14ac:dyDescent="0.35">
      <c r="A9" t="str">
        <f>Sheet1!A9</f>
        <v>Transfers</v>
      </c>
      <c r="B9">
        <f>Sheet4!B9*41868/10^6</f>
        <v>0</v>
      </c>
      <c r="C9">
        <f>Sheet4!C9*41868/10^6</f>
        <v>0</v>
      </c>
      <c r="D9">
        <f>Sheet4!D9*41868/10^6</f>
        <v>0</v>
      </c>
      <c r="E9">
        <f>Sheet4!E9*41868/10^6</f>
        <v>0</v>
      </c>
      <c r="F9">
        <f>Sheet4!F9*41868/10^6</f>
        <v>0</v>
      </c>
      <c r="G9">
        <f>Sheet4!G9*41868/10^6</f>
        <v>0</v>
      </c>
      <c r="H9">
        <f>Sheet4!H9*41868/10^6</f>
        <v>0</v>
      </c>
      <c r="I9">
        <f>Sheet4!I9*41868/10^6</f>
        <v>0</v>
      </c>
      <c r="J9">
        <f>Sheet4!J9*41868/10^6</f>
        <v>0</v>
      </c>
      <c r="K9">
        <f>Sheet4!K9*41868/10^6</f>
        <v>0</v>
      </c>
      <c r="L9">
        <f>Sheet4!L9*41868/10^6</f>
        <v>0</v>
      </c>
    </row>
    <row r="10" spans="1:13" x14ac:dyDescent="0.35">
      <c r="A10" t="str">
        <f>Sheet1!A10</f>
        <v>Statistical differences</v>
      </c>
      <c r="B10">
        <f>Sheet4!B10*41868/10^6</f>
        <v>-4.1868000000000002E-2</v>
      </c>
      <c r="C10">
        <f>Sheet4!C10*41868/10^6</f>
        <v>0</v>
      </c>
      <c r="D10">
        <f>Sheet4!D10*41868/10^6</f>
        <v>-8.3736000000000005E-2</v>
      </c>
      <c r="E10">
        <f>Sheet4!E10*41868/10^6</f>
        <v>0</v>
      </c>
      <c r="F10">
        <f>Sheet4!F10*41868/10^6</f>
        <v>0</v>
      </c>
      <c r="G10">
        <f>Sheet4!G10*41868/10^6</f>
        <v>0</v>
      </c>
      <c r="H10">
        <f>Sheet4!H10*41868/10^6</f>
        <v>0</v>
      </c>
      <c r="I10">
        <f>Sheet4!I10*41868/10^6</f>
        <v>0</v>
      </c>
      <c r="J10">
        <f>Sheet4!J10*41868/10^6</f>
        <v>0</v>
      </c>
      <c r="K10">
        <f>Sheet4!K10*41868/10^6</f>
        <v>-0.12560399999999999</v>
      </c>
      <c r="L10">
        <f>Sheet4!L10*41868/10^6</f>
        <v>0</v>
      </c>
    </row>
    <row r="11" spans="1:13" x14ac:dyDescent="0.35">
      <c r="A11" t="str">
        <f>Sheet1!A11</f>
        <v>Electricity plants</v>
      </c>
      <c r="B11">
        <f>Sheet4!B11*41868/10^6</f>
        <v>-133.85199600000001</v>
      </c>
      <c r="C11">
        <f>Sheet4!C11*41868/10^6</f>
        <v>0</v>
      </c>
      <c r="D11">
        <f>Sheet4!D11*41868/10^6</f>
        <v>-0.58615200000000001</v>
      </c>
      <c r="E11">
        <f>Sheet4!E11*41868/10^6</f>
        <v>-0.293076</v>
      </c>
      <c r="F11">
        <f>Sheet4!F11*41868/10^6</f>
        <v>0</v>
      </c>
      <c r="G11">
        <f>Sheet4!G11*41868/10^6</f>
        <v>-20.305980000000002</v>
      </c>
      <c r="H11">
        <f>Sheet4!H11*41868/10^6</f>
        <v>-8.3736000000000005E-2</v>
      </c>
      <c r="I11">
        <f>Sheet4!I11*41868/10^6</f>
        <v>0</v>
      </c>
      <c r="J11">
        <f>Sheet4!J11*41868/10^6</f>
        <v>63.178812000000001</v>
      </c>
      <c r="K11">
        <f>Sheet4!K11*41868/10^6</f>
        <v>0</v>
      </c>
      <c r="L11">
        <f>Sheet4!L11*41868/10^6</f>
        <v>-91.942127999999997</v>
      </c>
    </row>
    <row r="12" spans="1:13" x14ac:dyDescent="0.35">
      <c r="A12" t="str">
        <f>Sheet1!A12</f>
        <v>CHP plants</v>
      </c>
      <c r="B12">
        <f>Sheet4!B12*41868/10^6</f>
        <v>-3.391308</v>
      </c>
      <c r="C12">
        <f>Sheet4!C12*41868/10^6</f>
        <v>0</v>
      </c>
      <c r="D12">
        <f>Sheet4!D12*41868/10^6</f>
        <v>0</v>
      </c>
      <c r="E12">
        <f>Sheet4!E12*41868/10^6</f>
        <v>0</v>
      </c>
      <c r="F12">
        <f>Sheet4!F12*41868/10^6</f>
        <v>0</v>
      </c>
      <c r="G12">
        <f>Sheet4!G12*41868/10^6</f>
        <v>0</v>
      </c>
      <c r="H12">
        <f>Sheet4!H12*41868/10^6</f>
        <v>0</v>
      </c>
      <c r="I12">
        <f>Sheet4!I12*41868/10^6</f>
        <v>0</v>
      </c>
      <c r="J12">
        <f>Sheet4!J12*41868/10^6</f>
        <v>0.75362399999999996</v>
      </c>
      <c r="K12">
        <f>Sheet4!K12*41868/10^6</f>
        <v>1.5072479999999999</v>
      </c>
      <c r="L12">
        <f>Sheet4!L12*41868/10^6</f>
        <v>-1.130436</v>
      </c>
    </row>
    <row r="13" spans="1:13" x14ac:dyDescent="0.35">
      <c r="A13" t="str">
        <f>Sheet1!A13</f>
        <v>Heat plants</v>
      </c>
      <c r="B13">
        <f>Sheet4!B13*41868/10^6</f>
        <v>-2.177136</v>
      </c>
      <c r="C13">
        <f>Sheet4!C13*41868/10^6</f>
        <v>0</v>
      </c>
      <c r="D13">
        <f>Sheet4!D13*41868/10^6</f>
        <v>-0.62802000000000002</v>
      </c>
      <c r="E13">
        <f>Sheet4!E13*41868/10^6</f>
        <v>-1.758456</v>
      </c>
      <c r="F13">
        <f>Sheet4!F13*41868/10^6</f>
        <v>0</v>
      </c>
      <c r="G13">
        <f>Sheet4!G13*41868/10^6</f>
        <v>0</v>
      </c>
      <c r="H13">
        <f>Sheet4!H13*41868/10^6</f>
        <v>0</v>
      </c>
      <c r="I13">
        <f>Sheet4!I13*41868/10^6</f>
        <v>-0.71175600000000006</v>
      </c>
      <c r="J13">
        <f>Sheet4!J13*41868/10^6</f>
        <v>0</v>
      </c>
      <c r="K13">
        <f>Sheet4!K13*41868/10^6</f>
        <v>4.1449319999999998</v>
      </c>
      <c r="L13">
        <f>Sheet4!L13*41868/10^6</f>
        <v>-1.130436</v>
      </c>
    </row>
    <row r="14" spans="1:13" x14ac:dyDescent="0.35">
      <c r="A14" t="str">
        <f>Sheet1!A14</f>
        <v>Gas works</v>
      </c>
      <c r="B14">
        <f>Sheet4!B14*41868/10^6</f>
        <v>0</v>
      </c>
      <c r="C14">
        <f>Sheet4!C14*41868/10^6</f>
        <v>0</v>
      </c>
      <c r="D14">
        <f>Sheet4!D14*41868/10^6</f>
        <v>0</v>
      </c>
      <c r="E14">
        <f>Sheet4!E14*41868/10^6</f>
        <v>0</v>
      </c>
      <c r="F14">
        <f>Sheet4!F14*41868/10^6</f>
        <v>0</v>
      </c>
      <c r="G14">
        <f>Sheet4!G14*41868/10^6</f>
        <v>0</v>
      </c>
      <c r="H14">
        <f>Sheet4!H14*41868/10^6</f>
        <v>0</v>
      </c>
      <c r="I14">
        <f>Sheet4!I14*41868/10^6</f>
        <v>0</v>
      </c>
      <c r="J14">
        <f>Sheet4!J14*41868/10^6</f>
        <v>0</v>
      </c>
      <c r="K14">
        <f>Sheet4!K14*41868/10^6</f>
        <v>0</v>
      </c>
      <c r="L14">
        <f>Sheet4!L14*41868/10^6</f>
        <v>0</v>
      </c>
    </row>
    <row r="15" spans="1:13" x14ac:dyDescent="0.35">
      <c r="A15" t="str">
        <f>Sheet1!A15</f>
        <v>Oil refineries</v>
      </c>
      <c r="B15">
        <f>Sheet4!B15*41868/10^6</f>
        <v>0</v>
      </c>
      <c r="C15">
        <f>Sheet4!C15*41868/10^6</f>
        <v>-36.425159999999998</v>
      </c>
      <c r="D15">
        <f>Sheet4!D15*41868/10^6</f>
        <v>34.750439999999998</v>
      </c>
      <c r="E15">
        <f>Sheet4!E15*41868/10^6</f>
        <v>0</v>
      </c>
      <c r="F15">
        <f>Sheet4!F15*41868/10^6</f>
        <v>0</v>
      </c>
      <c r="G15">
        <f>Sheet4!G15*41868/10^6</f>
        <v>0</v>
      </c>
      <c r="H15">
        <f>Sheet4!H15*41868/10^6</f>
        <v>0</v>
      </c>
      <c r="I15">
        <f>Sheet4!I15*41868/10^6</f>
        <v>0</v>
      </c>
      <c r="J15">
        <f>Sheet4!J15*41868/10^6</f>
        <v>0</v>
      </c>
      <c r="K15">
        <f>Sheet4!K15*41868/10^6</f>
        <v>0</v>
      </c>
      <c r="L15">
        <f>Sheet4!L15*41868/10^6</f>
        <v>-1.67472</v>
      </c>
    </row>
    <row r="16" spans="1:13" x14ac:dyDescent="0.35">
      <c r="A16" t="str">
        <f>Sheet1!A16</f>
        <v>Coal transformation</v>
      </c>
      <c r="B16">
        <f>Sheet4!B16*41868/10^6</f>
        <v>-10.425132</v>
      </c>
      <c r="C16">
        <f>Sheet4!C16*41868/10^6</f>
        <v>0</v>
      </c>
      <c r="D16">
        <f>Sheet4!D16*41868/10^6</f>
        <v>0</v>
      </c>
      <c r="E16">
        <f>Sheet4!E16*41868/10^6</f>
        <v>0</v>
      </c>
      <c r="F16">
        <f>Sheet4!F16*41868/10^6</f>
        <v>0</v>
      </c>
      <c r="G16">
        <f>Sheet4!G16*41868/10^6</f>
        <v>0</v>
      </c>
      <c r="H16">
        <f>Sheet4!H16*41868/10^6</f>
        <v>0</v>
      </c>
      <c r="I16">
        <f>Sheet4!I16*41868/10^6</f>
        <v>0</v>
      </c>
      <c r="J16">
        <f>Sheet4!J16*41868/10^6</f>
        <v>0</v>
      </c>
      <c r="K16">
        <f>Sheet4!K16*41868/10^6</f>
        <v>0</v>
      </c>
      <c r="L16">
        <f>Sheet4!L16*41868/10^6</f>
        <v>-10.425132</v>
      </c>
    </row>
    <row r="17" spans="1:13" x14ac:dyDescent="0.35">
      <c r="A17" t="str">
        <f>Sheet1!A17</f>
        <v>Liquefication plants</v>
      </c>
      <c r="B17">
        <f>Sheet4!B17*41868/10^6</f>
        <v>0</v>
      </c>
      <c r="C17">
        <f>Sheet4!C17*41868/10^6</f>
        <v>0</v>
      </c>
      <c r="D17">
        <f>Sheet4!D17*41868/10^6</f>
        <v>0</v>
      </c>
      <c r="E17">
        <f>Sheet4!E17*41868/10^6</f>
        <v>0</v>
      </c>
      <c r="F17">
        <f>Sheet4!F17*41868/10^6</f>
        <v>0</v>
      </c>
      <c r="G17">
        <f>Sheet4!G17*41868/10^6</f>
        <v>0</v>
      </c>
      <c r="H17">
        <f>Sheet4!H17*41868/10^6</f>
        <v>0</v>
      </c>
      <c r="I17">
        <f>Sheet4!I17*41868/10^6</f>
        <v>0</v>
      </c>
      <c r="J17">
        <f>Sheet4!J17*41868/10^6</f>
        <v>0</v>
      </c>
      <c r="K17">
        <f>Sheet4!K17*41868/10^6</f>
        <v>0</v>
      </c>
      <c r="L17">
        <f>Sheet4!L17*41868/10^6</f>
        <v>0</v>
      </c>
    </row>
    <row r="18" spans="1:13" x14ac:dyDescent="0.35">
      <c r="A18" t="str">
        <f>Sheet1!A18</f>
        <v>Other transformation</v>
      </c>
      <c r="B18">
        <f>Sheet4!B18*41868/10^6</f>
        <v>0</v>
      </c>
      <c r="C18">
        <f>Sheet4!C18*41868/10^6</f>
        <v>0</v>
      </c>
      <c r="D18">
        <f>Sheet4!D18*41868/10^6</f>
        <v>0</v>
      </c>
      <c r="E18">
        <f>Sheet4!E18*41868/10^6</f>
        <v>0</v>
      </c>
      <c r="F18">
        <f>Sheet4!F18*41868/10^6</f>
        <v>0</v>
      </c>
      <c r="G18">
        <f>Sheet4!G18*41868/10^6</f>
        <v>0</v>
      </c>
      <c r="H18">
        <f>Sheet4!H18*41868/10^6</f>
        <v>0</v>
      </c>
      <c r="I18">
        <f>Sheet4!I18*41868/10^6</f>
        <v>-2.1352679999999999</v>
      </c>
      <c r="J18">
        <f>Sheet4!J18*41868/10^6</f>
        <v>0</v>
      </c>
      <c r="K18">
        <f>Sheet4!K18*41868/10^6</f>
        <v>0</v>
      </c>
      <c r="L18">
        <f>Sheet4!L18*41868/10^6</f>
        <v>-2.1352679999999999</v>
      </c>
    </row>
    <row r="19" spans="1:13" x14ac:dyDescent="0.35">
      <c r="A19" t="str">
        <f>Sheet1!A19</f>
        <v>Energy industry own use</v>
      </c>
      <c r="B19">
        <f>Sheet4!B19*41868/10^6</f>
        <v>-6.2801999999999998</v>
      </c>
      <c r="C19">
        <f>Sheet4!C19*41868/10^6</f>
        <v>0</v>
      </c>
      <c r="D19">
        <f>Sheet4!D19*41868/10^6</f>
        <v>-5.7777839999999996</v>
      </c>
      <c r="E19">
        <f>Sheet4!E19*41868/10^6</f>
        <v>0</v>
      </c>
      <c r="F19">
        <f>Sheet4!F19*41868/10^6</f>
        <v>0</v>
      </c>
      <c r="G19">
        <f>Sheet4!G19*41868/10^6</f>
        <v>0</v>
      </c>
      <c r="H19">
        <f>Sheet4!H19*41868/10^6</f>
        <v>0</v>
      </c>
      <c r="I19">
        <f>Sheet4!I19*41868/10^6</f>
        <v>0</v>
      </c>
      <c r="J19">
        <f>Sheet4!J19*41868/10^6</f>
        <v>-5.6103120000000004</v>
      </c>
      <c r="K19">
        <f>Sheet4!K19*41868/10^6</f>
        <v>-4.1868000000000002E-2</v>
      </c>
      <c r="L19">
        <f>Sheet4!L19*41868/10^6</f>
        <v>-17.710163999999999</v>
      </c>
    </row>
    <row r="20" spans="1:13" x14ac:dyDescent="0.35">
      <c r="A20" t="str">
        <f>Sheet1!A20</f>
        <v>Losses</v>
      </c>
      <c r="B20">
        <f>Sheet4!B20*41868/10^6</f>
        <v>-0.12560399999999999</v>
      </c>
      <c r="C20">
        <f>Sheet4!C20*41868/10^6</f>
        <v>0</v>
      </c>
      <c r="D20">
        <f>Sheet4!D20*41868/10^6</f>
        <v>0</v>
      </c>
      <c r="E20">
        <f>Sheet4!E20*41868/10^6</f>
        <v>-4.1868000000000002E-2</v>
      </c>
      <c r="F20">
        <f>Sheet4!F20*41868/10^6</f>
        <v>0</v>
      </c>
      <c r="G20">
        <f>Sheet4!G20*41868/10^6</f>
        <v>0</v>
      </c>
      <c r="H20">
        <f>Sheet4!H20*41868/10^6</f>
        <v>0</v>
      </c>
      <c r="I20">
        <f>Sheet4!I20*41868/10^6</f>
        <v>0</v>
      </c>
      <c r="J20">
        <f>Sheet4!J20*41868/10^6</f>
        <v>-4.8985560000000001</v>
      </c>
      <c r="K20">
        <f>Sheet4!K20*41868/10^6</f>
        <v>-0.37681199999999998</v>
      </c>
      <c r="L20">
        <f>Sheet4!L20*41868/10^6</f>
        <v>-5.4428400000000003</v>
      </c>
    </row>
    <row r="21" spans="1:13" x14ac:dyDescent="0.35">
      <c r="A21" s="4" t="str">
        <f>Sheet1!A21</f>
        <v>Total final consumption</v>
      </c>
      <c r="B21" s="4">
        <f>Sheet4!B21*41868/10^6</f>
        <v>15.826104000000001</v>
      </c>
      <c r="C21" s="4">
        <f>Sheet4!C21*41868/10^6</f>
        <v>0</v>
      </c>
      <c r="D21" s="4">
        <f>Sheet4!D21*41868/10^6</f>
        <v>63.639360000000003</v>
      </c>
      <c r="E21" s="4">
        <f>Sheet4!E21*41868/10^6</f>
        <v>5.6521800000000004</v>
      </c>
      <c r="F21" s="4">
        <f>Sheet4!F21*41868/10^6</f>
        <v>0</v>
      </c>
      <c r="G21" s="4">
        <f>Sheet4!G21*41868/10^6</f>
        <v>0</v>
      </c>
      <c r="H21" s="4">
        <f>Sheet4!H21*41868/10^6</f>
        <v>0</v>
      </c>
      <c r="I21" s="4">
        <f>Sheet4!I21*41868/10^6</f>
        <v>20.850263999999999</v>
      </c>
      <c r="J21" s="4">
        <f>Sheet4!J21*41868/10^6</f>
        <v>39.900204000000002</v>
      </c>
      <c r="K21" s="4">
        <f>Sheet4!K21*41868/10^6</f>
        <v>5.1078960000000002</v>
      </c>
      <c r="L21" s="4">
        <f>Sheet4!L21*41868/10^6</f>
        <v>150.97600800000001</v>
      </c>
      <c r="M21" s="4">
        <f>Sheet1!M21*41868/10^6</f>
        <v>180.07426799999999</v>
      </c>
    </row>
    <row r="22" spans="1:13" x14ac:dyDescent="0.35">
      <c r="A22" t="str">
        <f>Sheet1!A22</f>
        <v>Industry</v>
      </c>
      <c r="B22">
        <f>Sheet4!B22*41868/10^6</f>
        <v>8.2479960000000005</v>
      </c>
      <c r="C22">
        <f>Sheet4!C22*41868/10^6</f>
        <v>0</v>
      </c>
      <c r="D22">
        <f>Sheet4!D22*41868/10^6</f>
        <v>4.6892160000000001</v>
      </c>
      <c r="E22">
        <f>Sheet4!E22*41868/10^6</f>
        <v>3.1819679999999999</v>
      </c>
      <c r="F22">
        <f>Sheet4!F22*41868/10^6</f>
        <v>0</v>
      </c>
      <c r="G22">
        <f>Sheet4!G22*41868/10^6</f>
        <v>0</v>
      </c>
      <c r="H22">
        <f>Sheet4!H22*41868/10^6</f>
        <v>0</v>
      </c>
      <c r="I22">
        <f>Sheet4!I22*41868/10^6</f>
        <v>0.71175600000000006</v>
      </c>
      <c r="J22">
        <f>Sheet4!J22*41868/10^6</f>
        <v>14.695668</v>
      </c>
      <c r="K22">
        <f>Sheet4!K22*41868/10^6</f>
        <v>4.1868000000000002E-2</v>
      </c>
      <c r="L22">
        <f>Sheet4!L22*41868/10^6</f>
        <v>31.568472</v>
      </c>
    </row>
    <row r="23" spans="1:13" x14ac:dyDescent="0.35">
      <c r="A23" t="str">
        <f>Sheet1!A23</f>
        <v>Transport</v>
      </c>
      <c r="B23">
        <f>Sheet4!B23*41868/10^6</f>
        <v>0</v>
      </c>
      <c r="C23">
        <f>Sheet4!C23*41868/10^6</f>
        <v>0</v>
      </c>
      <c r="D23">
        <f>Sheet4!D23*41868/10^6</f>
        <v>49.613579999999999</v>
      </c>
      <c r="E23">
        <f>Sheet4!E23*41868/10^6</f>
        <v>0</v>
      </c>
      <c r="F23">
        <f>Sheet4!F23*41868/10^6</f>
        <v>0</v>
      </c>
      <c r="G23">
        <f>Sheet4!G23*41868/10^6</f>
        <v>0</v>
      </c>
      <c r="H23">
        <f>Sheet4!H23*41868/10^6</f>
        <v>0</v>
      </c>
      <c r="I23">
        <f>Sheet4!I23*41868/10^6</f>
        <v>0</v>
      </c>
      <c r="J23">
        <f>Sheet4!J23*41868/10^6</f>
        <v>0.25120799999999999</v>
      </c>
      <c r="K23">
        <f>Sheet4!K23*41868/10^6</f>
        <v>0</v>
      </c>
      <c r="L23">
        <f>Sheet4!L23*41868/10^6</f>
        <v>49.864787999999997</v>
      </c>
    </row>
    <row r="24" spans="1:13" x14ac:dyDescent="0.35">
      <c r="A24" t="str">
        <f>Sheet1!A24</f>
        <v>Residential</v>
      </c>
      <c r="B24">
        <f>Sheet4!B24*41868/10^6</f>
        <v>3.0982319999999999</v>
      </c>
      <c r="C24">
        <f>Sheet4!C24*41868/10^6</f>
        <v>0</v>
      </c>
      <c r="D24">
        <f>Sheet4!D24*41868/10^6</f>
        <v>3.516912</v>
      </c>
      <c r="E24">
        <f>Sheet4!E24*41868/10^6</f>
        <v>1.4653799999999999</v>
      </c>
      <c r="F24">
        <f>Sheet4!F24*41868/10^6</f>
        <v>0</v>
      </c>
      <c r="G24">
        <f>Sheet4!G24*41868/10^6</f>
        <v>0</v>
      </c>
      <c r="H24">
        <f>Sheet4!H24*41868/10^6</f>
        <v>0</v>
      </c>
      <c r="I24">
        <f>Sheet4!I24*41868/10^6</f>
        <v>18.631260000000001</v>
      </c>
      <c r="J24">
        <f>Sheet4!J24*41868/10^6</f>
        <v>17.040275999999999</v>
      </c>
      <c r="K24">
        <f>Sheet4!K24*41868/10^6</f>
        <v>3.9774600000000002</v>
      </c>
      <c r="L24">
        <f>Sheet4!L24*41868/10^6</f>
        <v>47.729520000000001</v>
      </c>
    </row>
    <row r="25" spans="1:13" x14ac:dyDescent="0.35">
      <c r="A25" t="str">
        <f>Sheet1!A25</f>
        <v>Commercial and public services</v>
      </c>
      <c r="B25">
        <f>Sheet4!B25*41868/10^6</f>
        <v>4.563612</v>
      </c>
      <c r="C25">
        <f>Sheet4!C25*41868/10^6</f>
        <v>0</v>
      </c>
      <c r="D25">
        <f>Sheet4!D25*41868/10^6</f>
        <v>2.1352679999999999</v>
      </c>
      <c r="E25">
        <f>Sheet4!E25*41868/10^6</f>
        <v>1.0467</v>
      </c>
      <c r="F25">
        <f>Sheet4!F25*41868/10^6</f>
        <v>0</v>
      </c>
      <c r="G25">
        <f>Sheet4!G25*41868/10^6</f>
        <v>0</v>
      </c>
      <c r="H25">
        <f>Sheet4!H25*41868/10^6</f>
        <v>0</v>
      </c>
      <c r="I25">
        <f>Sheet4!I25*41868/10^6</f>
        <v>1.5072479999999999</v>
      </c>
      <c r="J25">
        <f>Sheet4!J25*41868/10^6</f>
        <v>7.7037120000000003</v>
      </c>
      <c r="K25">
        <f>Sheet4!K25*41868/10^6</f>
        <v>1.25604</v>
      </c>
      <c r="L25">
        <f>Sheet4!L25*41868/10^6</f>
        <v>18.212579999999999</v>
      </c>
    </row>
    <row r="26" spans="1:13" x14ac:dyDescent="0.35">
      <c r="A26" t="str">
        <f>Sheet1!A26</f>
        <v>Agriculture/forestry</v>
      </c>
      <c r="B26">
        <f>Sheet4!B26*41868/10^6</f>
        <v>0</v>
      </c>
      <c r="C26">
        <f>Sheet4!C26*41868/10^6</f>
        <v>0</v>
      </c>
      <c r="D26">
        <f>Sheet4!D26*41868/10^6</f>
        <v>0.50241599999999997</v>
      </c>
      <c r="E26">
        <f>Sheet4!E26*41868/10^6</f>
        <v>0</v>
      </c>
      <c r="F26">
        <f>Sheet4!F26*41868/10^6</f>
        <v>0</v>
      </c>
      <c r="G26">
        <f>Sheet4!G26*41868/10^6</f>
        <v>0</v>
      </c>
      <c r="H26">
        <f>Sheet4!H26*41868/10^6</f>
        <v>0</v>
      </c>
      <c r="I26">
        <f>Sheet4!I26*41868/10^6</f>
        <v>0</v>
      </c>
      <c r="J26">
        <f>Sheet4!J26*41868/10^6</f>
        <v>0.25120799999999999</v>
      </c>
      <c r="K26">
        <f>Sheet4!K26*41868/10^6</f>
        <v>0</v>
      </c>
      <c r="L26">
        <f>Sheet4!L26*41868/10^6</f>
        <v>0.75362399999999996</v>
      </c>
    </row>
    <row r="27" spans="1:13" x14ac:dyDescent="0.35">
      <c r="A27" t="str">
        <f>Sheet1!A27</f>
        <v>Fishing</v>
      </c>
      <c r="B27">
        <f>Sheet4!B27*41868/10^6</f>
        <v>0</v>
      </c>
      <c r="C27">
        <f>Sheet4!C27*41868/10^6</f>
        <v>0</v>
      </c>
      <c r="D27">
        <f>Sheet4!D27*41868/10^6</f>
        <v>0</v>
      </c>
      <c r="E27">
        <f>Sheet4!E27*41868/10^6</f>
        <v>0</v>
      </c>
      <c r="F27">
        <f>Sheet4!F27*41868/10^6</f>
        <v>0</v>
      </c>
      <c r="G27">
        <f>Sheet4!G27*41868/10^6</f>
        <v>0</v>
      </c>
      <c r="H27">
        <f>Sheet4!H27*41868/10^6</f>
        <v>0</v>
      </c>
      <c r="I27">
        <f>Sheet4!I27*41868/10^6</f>
        <v>0</v>
      </c>
      <c r="J27">
        <f>Sheet4!J27*41868/10^6</f>
        <v>0</v>
      </c>
      <c r="K27">
        <f>Sheet4!K27*41868/10^6</f>
        <v>0</v>
      </c>
      <c r="L27">
        <f>Sheet4!L27*41868/10^6</f>
        <v>0</v>
      </c>
    </row>
    <row r="28" spans="1:13" x14ac:dyDescent="0.35">
      <c r="A28" t="str">
        <f>Sheet1!A28</f>
        <v>Non-specified</v>
      </c>
      <c r="B28">
        <f>Sheet4!B28*41868/10^6</f>
        <v>0</v>
      </c>
      <c r="C28">
        <f>Sheet4!C28*41868/10^6</f>
        <v>0</v>
      </c>
      <c r="D28">
        <f>Sheet4!D28*41868/10^6</f>
        <v>0</v>
      </c>
      <c r="E28">
        <f>Sheet4!E28*41868/10^6</f>
        <v>0</v>
      </c>
      <c r="F28">
        <f>Sheet4!F28*41868/10^6</f>
        <v>0</v>
      </c>
      <c r="G28">
        <f>Sheet4!G28*41868/10^6</f>
        <v>0</v>
      </c>
      <c r="H28">
        <f>Sheet4!H28*41868/10^6</f>
        <v>0</v>
      </c>
      <c r="I28">
        <f>Sheet4!I28*41868/10^6</f>
        <v>0</v>
      </c>
      <c r="J28">
        <f>Sheet4!J28*41868/10^6</f>
        <v>0</v>
      </c>
      <c r="K28">
        <f>Sheet4!K28*41868/10^6</f>
        <v>0</v>
      </c>
      <c r="L28">
        <f>Sheet4!L28*41868/10^6</f>
        <v>0</v>
      </c>
    </row>
    <row r="29" spans="1:13" x14ac:dyDescent="0.35">
      <c r="A29" t="str">
        <f>Sheet1!A29</f>
        <v>Non-energy use</v>
      </c>
      <c r="B29">
        <f>Sheet4!B29*41868/10^6</f>
        <v>0</v>
      </c>
      <c r="C29">
        <f>Sheet4!C29*41868/10^6</f>
        <v>0</v>
      </c>
      <c r="D29">
        <f>Sheet4!D29*41868/10^6</f>
        <v>3.1400999999999999</v>
      </c>
      <c r="E29">
        <f>Sheet4!E29*41868/10^6</f>
        <v>0</v>
      </c>
      <c r="F29">
        <f>Sheet4!F29*41868/10^6</f>
        <v>0</v>
      </c>
      <c r="G29">
        <f>Sheet4!G29*41868/10^6</f>
        <v>0</v>
      </c>
      <c r="H29">
        <f>Sheet4!H29*41868/10^6</f>
        <v>0</v>
      </c>
      <c r="I29">
        <f>Sheet4!I29*41868/10^6</f>
        <v>0</v>
      </c>
      <c r="J29">
        <f>Sheet4!J29*41868/10^6</f>
        <v>0</v>
      </c>
      <c r="K29">
        <f>Sheet4!K29*41868/10^6</f>
        <v>0</v>
      </c>
      <c r="L29">
        <f>Sheet4!L29*41868/10^6</f>
        <v>3.1400999999999999</v>
      </c>
    </row>
    <row r="30" spans="1:13" x14ac:dyDescent="0.35">
      <c r="A30" s="4"/>
      <c r="B30" s="4">
        <f>Sheet4!B30*41868/10^6</f>
        <v>15.909840000000001</v>
      </c>
      <c r="C30" s="4">
        <f>Sheet4!C30*41868/10^6</f>
        <v>0</v>
      </c>
      <c r="D30" s="4">
        <f>Sheet4!D30*41868/10^6</f>
        <v>63.597492000000003</v>
      </c>
      <c r="E30" s="4">
        <f>Sheet4!E30*41868/10^6</f>
        <v>5.6940480000000004</v>
      </c>
      <c r="F30" s="4">
        <f>Sheet4!F30*41868/10^6</f>
        <v>0</v>
      </c>
      <c r="G30" s="4">
        <f>Sheet4!G30*41868/10^6</f>
        <v>0</v>
      </c>
      <c r="H30" s="4">
        <f>Sheet4!H30*41868/10^6</f>
        <v>0</v>
      </c>
      <c r="I30" s="4">
        <f>Sheet4!I30*41868/10^6</f>
        <v>20.850263999999999</v>
      </c>
      <c r="J30" s="4">
        <f>Sheet4!J30*41868/10^6</f>
        <v>39.942072000000003</v>
      </c>
      <c r="K30" s="4">
        <f>Sheet4!K30*41868/10^6</f>
        <v>5.2753680000000003</v>
      </c>
      <c r="L30" s="4">
        <f>Sheet4!L30*41868/10^6</f>
        <v>151.26908399999999</v>
      </c>
      <c r="M3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5C40-8494-4F35-B83E-72693A09AC79}">
  <dimension ref="A1:T47"/>
  <sheetViews>
    <sheetView topLeftCell="G1" workbookViewId="0">
      <selection activeCell="P9" sqref="P9"/>
    </sheetView>
  </sheetViews>
  <sheetFormatPr defaultRowHeight="14.5" x14ac:dyDescent="0.35"/>
  <cols>
    <col min="1" max="1" width="27.1796875" bestFit="1" customWidth="1"/>
    <col min="4" max="4" width="10.90625" bestFit="1" customWidth="1"/>
    <col min="5" max="5" width="10.1796875" bestFit="1" customWidth="1"/>
    <col min="8" max="8" width="13.26953125" bestFit="1" customWidth="1"/>
    <col min="9" max="9" width="16.54296875" bestFit="1" customWidth="1"/>
    <col min="15" max="15" width="36.1796875" bestFit="1" customWidth="1"/>
  </cols>
  <sheetData>
    <row r="1" spans="1:20" x14ac:dyDescent="0.35">
      <c r="A1">
        <f>Sheet1!A1</f>
        <v>0</v>
      </c>
      <c r="B1" t="str">
        <f>Sheet1!B1</f>
        <v>Coal</v>
      </c>
      <c r="C1" t="str">
        <f>Sheet1!C1</f>
        <v>Crude oil</v>
      </c>
      <c r="D1" t="str">
        <f>Sheet1!D1</f>
        <v>Oil products</v>
      </c>
      <c r="E1" t="str">
        <f>Sheet1!E1</f>
        <v>Natural gas</v>
      </c>
      <c r="F1" t="str">
        <f>Sheet1!F1</f>
        <v>Nuclear</v>
      </c>
      <c r="G1" t="str">
        <f>Sheet1!G1</f>
        <v>Hidro</v>
      </c>
      <c r="H1" t="str">
        <f>Sheet1!H1</f>
        <v>Wind, solar,etc</v>
      </c>
      <c r="I1" t="str">
        <f>Sheet1!I1</f>
        <v>Biofuels and waste</v>
      </c>
      <c r="J1" t="str">
        <f>Sheet1!J1</f>
        <v>Electricity</v>
      </c>
      <c r="K1" t="str">
        <f>Sheet1!K1</f>
        <v>Heat</v>
      </c>
      <c r="L1" t="str">
        <f>Sheet1!L1</f>
        <v>Total</v>
      </c>
    </row>
    <row r="2" spans="1:20" x14ac:dyDescent="0.35">
      <c r="A2" t="str">
        <f>Sheet1!A2</f>
        <v>Production</v>
      </c>
      <c r="B2">
        <f>Sheet4!B2*11630/1000</f>
        <v>40937.599999999999</v>
      </c>
      <c r="C2">
        <f>Sheet4!C2*11630/1000</f>
        <v>0</v>
      </c>
      <c r="D2">
        <f>Sheet4!D2*11630/1000</f>
        <v>0</v>
      </c>
      <c r="E2">
        <f>Sheet4!E2*11630/1000</f>
        <v>0</v>
      </c>
      <c r="F2">
        <f>Sheet4!F2*11630/1000</f>
        <v>0</v>
      </c>
      <c r="G2">
        <f>Sheet4!G2*11630/1000</f>
        <v>5640.55</v>
      </c>
      <c r="H2">
        <f>Sheet4!H2*11630/1000</f>
        <v>23.26</v>
      </c>
      <c r="I2">
        <f>Sheet4!I2*11630/1000</f>
        <v>8536.42</v>
      </c>
      <c r="J2">
        <f>Sheet4!J2*11630/1000</f>
        <v>0</v>
      </c>
      <c r="K2">
        <f>Sheet4!K2*11630/1000</f>
        <v>0</v>
      </c>
      <c r="L2">
        <f>Sheet4!L2*11630/1000</f>
        <v>55137.83</v>
      </c>
      <c r="M2">
        <f>Sheet4!M2*11630/1000</f>
        <v>0</v>
      </c>
    </row>
    <row r="3" spans="1:20" x14ac:dyDescent="0.35">
      <c r="A3" t="str">
        <f>Sheet1!A3</f>
        <v>Imports</v>
      </c>
      <c r="B3">
        <f>Sheet4!B3*11630/1000</f>
        <v>10908.94</v>
      </c>
      <c r="C3">
        <f>Sheet4!C3*11630/1000</f>
        <v>11036.87</v>
      </c>
      <c r="D3">
        <f>Sheet4!D3*11630/1000</f>
        <v>12711.59</v>
      </c>
      <c r="E3">
        <f>Sheet4!E3*11630/1000</f>
        <v>2151.5500000000002</v>
      </c>
      <c r="F3">
        <f>Sheet4!F3*11630/1000</f>
        <v>0</v>
      </c>
      <c r="G3">
        <f>Sheet4!G3*11630/1000</f>
        <v>0</v>
      </c>
      <c r="H3">
        <f>Sheet4!H3*11630/1000</f>
        <v>0</v>
      </c>
      <c r="I3">
        <f>Sheet4!I3*11630/1000</f>
        <v>0</v>
      </c>
      <c r="J3">
        <f>Sheet4!J3*11630/1000</f>
        <v>3081.95</v>
      </c>
      <c r="K3">
        <f>Sheet4!K3*11630/1000</f>
        <v>0</v>
      </c>
      <c r="L3">
        <f>Sheet4!L3*11630/1000</f>
        <v>39890.9</v>
      </c>
      <c r="M3">
        <f>Sheet4!M3*11630/1000</f>
        <v>0</v>
      </c>
    </row>
    <row r="4" spans="1:20" x14ac:dyDescent="0.35">
      <c r="A4" t="str">
        <f>Sheet1!A4</f>
        <v>Exports</v>
      </c>
      <c r="B4">
        <f>Sheet4!B4*11630/1000</f>
        <v>-3768.12</v>
      </c>
      <c r="C4">
        <f>Sheet4!C4*11630/1000</f>
        <v>0</v>
      </c>
      <c r="D4">
        <f>Sheet4!D4*11630/1000</f>
        <v>-2535.34</v>
      </c>
      <c r="E4">
        <f>Sheet4!E4*11630/1000</f>
        <v>0</v>
      </c>
      <c r="F4">
        <f>Sheet4!F4*11630/1000</f>
        <v>0</v>
      </c>
      <c r="G4">
        <f>Sheet4!G4*11630/1000</f>
        <v>0</v>
      </c>
      <c r="H4">
        <f>Sheet4!H4*11630/1000</f>
        <v>0</v>
      </c>
      <c r="I4">
        <f>Sheet4!I4*11630/1000</f>
        <v>-1953.84</v>
      </c>
      <c r="J4">
        <f>Sheet4!J4*11630/1000</f>
        <v>-6838.44</v>
      </c>
      <c r="K4">
        <f>Sheet4!K4*11630/1000</f>
        <v>0</v>
      </c>
      <c r="L4">
        <f>Sheet4!L4*11630/1000</f>
        <v>-15095.74</v>
      </c>
      <c r="M4">
        <f>Sheet4!M4*11630/1000</f>
        <v>0</v>
      </c>
    </row>
    <row r="5" spans="1:20" x14ac:dyDescent="0.35">
      <c r="A5" t="str">
        <f>Sheet1!A5</f>
        <v>International marine bunkers</v>
      </c>
      <c r="B5">
        <f>Sheet4!B5*11630/1000</f>
        <v>0</v>
      </c>
      <c r="C5">
        <f>Sheet4!C5*11630/1000</f>
        <v>0</v>
      </c>
      <c r="D5">
        <f>Sheet4!D5*11630/1000</f>
        <v>0</v>
      </c>
      <c r="E5">
        <f>Sheet4!E5*11630/1000</f>
        <v>0</v>
      </c>
      <c r="F5">
        <f>Sheet4!F5*11630/1000</f>
        <v>0</v>
      </c>
      <c r="G5">
        <f>Sheet4!G5*11630/1000</f>
        <v>0</v>
      </c>
      <c r="H5">
        <f>Sheet4!H5*11630/1000</f>
        <v>0</v>
      </c>
      <c r="I5">
        <f>Sheet4!I5*11630/1000</f>
        <v>0</v>
      </c>
      <c r="J5">
        <f>Sheet4!J5*11630/1000</f>
        <v>0</v>
      </c>
      <c r="K5">
        <f>Sheet4!K5*11630/1000</f>
        <v>0</v>
      </c>
      <c r="L5">
        <f>Sheet4!L5*11630/1000</f>
        <v>0</v>
      </c>
      <c r="M5">
        <f>Sheet4!M5*11630/1000</f>
        <v>0</v>
      </c>
    </row>
    <row r="6" spans="1:20" x14ac:dyDescent="0.35">
      <c r="A6" t="str">
        <f>Sheet1!A6</f>
        <v>International aviation bunkers</v>
      </c>
      <c r="B6">
        <f>Sheet4!B6*11630/1000</f>
        <v>0</v>
      </c>
      <c r="C6">
        <f>Sheet4!C6*11630/1000</f>
        <v>0</v>
      </c>
      <c r="D6">
        <f>Sheet4!D6*11630/1000</f>
        <v>-116.3</v>
      </c>
      <c r="E6">
        <f>Sheet4!E6*11630/1000</f>
        <v>0</v>
      </c>
      <c r="F6">
        <f>Sheet4!F6*11630/1000</f>
        <v>0</v>
      </c>
      <c r="G6">
        <f>Sheet4!G6*11630/1000</f>
        <v>0</v>
      </c>
      <c r="H6">
        <f>Sheet4!H6*11630/1000</f>
        <v>0</v>
      </c>
      <c r="I6">
        <f>Sheet4!I6*11630/1000</f>
        <v>0</v>
      </c>
      <c r="J6">
        <f>Sheet4!J6*11630/1000</f>
        <v>0</v>
      </c>
      <c r="K6">
        <f>Sheet4!K6*11630/1000</f>
        <v>0</v>
      </c>
      <c r="L6">
        <f>Sheet4!L6*11630/1000</f>
        <v>-116.3</v>
      </c>
      <c r="M6">
        <f>Sheet4!M6*11630/1000</f>
        <v>0</v>
      </c>
    </row>
    <row r="7" spans="1:20" x14ac:dyDescent="0.35">
      <c r="A7" t="str">
        <f>Sheet1!A7</f>
        <v>Stock changes</v>
      </c>
      <c r="B7">
        <f>Sheet4!B7*11630/1000</f>
        <v>-267.49</v>
      </c>
      <c r="C7">
        <f>Sheet4!C7*11630/1000</f>
        <v>-918.77</v>
      </c>
      <c r="D7">
        <f>Sheet4!D7*11630/1000</f>
        <v>-69.78</v>
      </c>
      <c r="E7">
        <f>Sheet4!E7*11630/1000</f>
        <v>0</v>
      </c>
      <c r="F7">
        <f>Sheet4!F7*11630/1000</f>
        <v>0</v>
      </c>
      <c r="G7">
        <f>Sheet4!G7*11630/1000</f>
        <v>0</v>
      </c>
      <c r="H7">
        <f>Sheet4!H7*11630/1000</f>
        <v>0</v>
      </c>
      <c r="I7">
        <f>Sheet4!I7*11630/1000</f>
        <v>0</v>
      </c>
      <c r="J7">
        <f>Sheet4!J7*11630/1000</f>
        <v>0</v>
      </c>
      <c r="K7">
        <f>Sheet4!K7*11630/1000</f>
        <v>0</v>
      </c>
      <c r="L7">
        <f>Sheet4!L7*11630/1000</f>
        <v>-1256.04</v>
      </c>
      <c r="M7">
        <f>Sheet4!M7*11630/1000</f>
        <v>0</v>
      </c>
    </row>
    <row r="8" spans="1:20" x14ac:dyDescent="0.35">
      <c r="A8" s="4" t="str">
        <f>Sheet1!A8</f>
        <v>TES</v>
      </c>
      <c r="B8" s="4">
        <f>Sheet4!B8*11630/1000</f>
        <v>47810.93</v>
      </c>
      <c r="C8" s="4">
        <f>Sheet4!C8*11630/1000</f>
        <v>10118.1</v>
      </c>
      <c r="D8" s="4">
        <f>Sheet4!D8*11630/1000</f>
        <v>9990.17</v>
      </c>
      <c r="E8" s="4">
        <f>Sheet4!E8*11630/1000</f>
        <v>2151.5500000000002</v>
      </c>
      <c r="F8" s="4">
        <f>Sheet4!F8*11630/1000</f>
        <v>0</v>
      </c>
      <c r="G8" s="4">
        <f>Sheet4!G8*11630/1000</f>
        <v>5640.55</v>
      </c>
      <c r="H8" s="4">
        <f>Sheet4!H8*11630/1000</f>
        <v>23.26</v>
      </c>
      <c r="I8" s="4">
        <f>Sheet4!I8*11630/1000</f>
        <v>6582.58</v>
      </c>
      <c r="J8" s="4">
        <f>Sheet4!J8*11630/1000</f>
        <v>-3756.49</v>
      </c>
      <c r="K8" s="4">
        <f>Sheet4!K8*11630/1000</f>
        <v>0</v>
      </c>
      <c r="L8" s="4">
        <f>Sheet4!L8*11630/1000</f>
        <v>78560.649999999994</v>
      </c>
      <c r="M8" s="4">
        <f>Sheet4!M8*11630/1000</f>
        <v>0</v>
      </c>
      <c r="O8" t="s">
        <v>75</v>
      </c>
      <c r="P8">
        <f>K13/ABS(B13+D13+E13+I13)</f>
        <v>0.78571428571428559</v>
      </c>
    </row>
    <row r="9" spans="1:20" x14ac:dyDescent="0.35">
      <c r="A9" t="str">
        <f>Sheet1!A9</f>
        <v>Transfers</v>
      </c>
      <c r="B9">
        <f>Sheet4!B9*11630/1000</f>
        <v>0</v>
      </c>
      <c r="C9">
        <f>Sheet4!C9*11630/1000</f>
        <v>0</v>
      </c>
      <c r="D9">
        <f>Sheet4!D9*11630/1000</f>
        <v>0</v>
      </c>
      <c r="E9">
        <f>Sheet4!E9*11630/1000</f>
        <v>0</v>
      </c>
      <c r="F9">
        <f>Sheet4!F9*11630/1000</f>
        <v>0</v>
      </c>
      <c r="G9">
        <f>Sheet4!G9*11630/1000</f>
        <v>0</v>
      </c>
      <c r="H9">
        <f>Sheet4!H9*11630/1000</f>
        <v>0</v>
      </c>
      <c r="I9">
        <f>Sheet4!I9*11630/1000</f>
        <v>0</v>
      </c>
      <c r="J9">
        <f>Sheet4!J9*11630/1000</f>
        <v>0</v>
      </c>
      <c r="K9">
        <f>Sheet4!K9*11630/1000</f>
        <v>0</v>
      </c>
      <c r="L9">
        <f>Sheet4!L9*11630/1000</f>
        <v>0</v>
      </c>
      <c r="M9">
        <f>Sheet4!M9*11630/1000</f>
        <v>0</v>
      </c>
      <c r="O9" t="s">
        <v>66</v>
      </c>
      <c r="P9">
        <f>J11/ABS(B11+D11+E11+G11+H11)</f>
        <v>0.40728744939271244</v>
      </c>
    </row>
    <row r="10" spans="1:20" x14ac:dyDescent="0.35">
      <c r="A10" t="str">
        <f>Sheet1!A10</f>
        <v>Statistical differences</v>
      </c>
      <c r="B10">
        <f>Sheet4!B10*11630/1000</f>
        <v>-11.63</v>
      </c>
      <c r="C10">
        <f>Sheet4!C10*11630/1000</f>
        <v>0</v>
      </c>
      <c r="D10">
        <f>Sheet4!D10*11630/1000</f>
        <v>-23.26</v>
      </c>
      <c r="E10">
        <f>Sheet4!E10*11630/1000</f>
        <v>0</v>
      </c>
      <c r="F10">
        <f>Sheet4!F10*11630/1000</f>
        <v>0</v>
      </c>
      <c r="G10">
        <f>Sheet4!G10*11630/1000</f>
        <v>0</v>
      </c>
      <c r="H10">
        <f>Sheet4!H10*11630/1000</f>
        <v>0</v>
      </c>
      <c r="I10">
        <f>Sheet4!I10*11630/1000</f>
        <v>0</v>
      </c>
      <c r="J10">
        <f>Sheet4!J10*11630/1000</f>
        <v>0</v>
      </c>
      <c r="K10">
        <f>Sheet4!K10*11630/1000</f>
        <v>-34.89</v>
      </c>
      <c r="L10">
        <f>Sheet4!L10*11630/1000</f>
        <v>0</v>
      </c>
      <c r="M10">
        <f>Sheet4!M10*11630/1000</f>
        <v>0</v>
      </c>
      <c r="O10" t="s">
        <v>72</v>
      </c>
      <c r="P10">
        <f>J12/ABS(B12)</f>
        <v>0.22222222222222224</v>
      </c>
      <c r="R10" t="s">
        <v>74</v>
      </c>
      <c r="T10">
        <f>(J12+K12)/ABS(B12)</f>
        <v>0.66666666666666663</v>
      </c>
    </row>
    <row r="11" spans="1:20" x14ac:dyDescent="0.35">
      <c r="A11" t="str">
        <f>Sheet1!A11</f>
        <v>Electricity plants</v>
      </c>
      <c r="B11">
        <f>Sheet4!B11*11630/1000</f>
        <v>-37181.11</v>
      </c>
      <c r="C11">
        <f>Sheet4!C11*11630/1000</f>
        <v>0</v>
      </c>
      <c r="D11">
        <f>Sheet4!D11*11630/1000</f>
        <v>-162.82</v>
      </c>
      <c r="E11">
        <f>Sheet4!E11*11630/1000</f>
        <v>-81.41</v>
      </c>
      <c r="F11">
        <f>Sheet4!F11*11630/1000</f>
        <v>0</v>
      </c>
      <c r="G11">
        <f>Sheet4!G11*11630/1000</f>
        <v>-5640.55</v>
      </c>
      <c r="H11">
        <f>Sheet4!H11*11630/1000</f>
        <v>-23.26</v>
      </c>
      <c r="I11">
        <f>Sheet4!I11*11630/1000</f>
        <v>0</v>
      </c>
      <c r="J11">
        <f>Sheet4!J11*11630/1000</f>
        <v>17549.669999999998</v>
      </c>
      <c r="K11">
        <f>Sheet4!K11*11630/1000</f>
        <v>0</v>
      </c>
      <c r="L11">
        <f>Sheet4!L11*11630/1000</f>
        <v>-25539.48</v>
      </c>
      <c r="M11">
        <f>Sheet4!M11*11630/1000</f>
        <v>0</v>
      </c>
      <c r="O11" t="s">
        <v>73</v>
      </c>
      <c r="P11">
        <f>K12/ABS(B12)</f>
        <v>0.44444444444444448</v>
      </c>
    </row>
    <row r="12" spans="1:20" x14ac:dyDescent="0.35">
      <c r="A12" t="str">
        <f>Sheet1!A12</f>
        <v>CHP plants</v>
      </c>
      <c r="B12">
        <f>Sheet4!B12*11630/1000</f>
        <v>-942.03</v>
      </c>
      <c r="C12">
        <f>Sheet4!C12*11630/1000</f>
        <v>0</v>
      </c>
      <c r="D12">
        <f>Sheet4!D12*11630/1000</f>
        <v>0</v>
      </c>
      <c r="E12">
        <f>Sheet4!E12*11630/1000</f>
        <v>0</v>
      </c>
      <c r="F12">
        <f>Sheet4!F12*11630/1000</f>
        <v>0</v>
      </c>
      <c r="G12">
        <f>Sheet4!G12*11630/1000</f>
        <v>0</v>
      </c>
      <c r="H12">
        <f>Sheet4!H12*11630/1000</f>
        <v>0</v>
      </c>
      <c r="I12">
        <f>Sheet4!I12*11630/1000</f>
        <v>0</v>
      </c>
      <c r="J12">
        <f>Sheet4!J12*11630/1000</f>
        <v>209.34</v>
      </c>
      <c r="K12">
        <f>Sheet4!K12*11630/1000</f>
        <v>418.68</v>
      </c>
      <c r="L12">
        <f>Sheet4!L12*11630/1000</f>
        <v>-314.01</v>
      </c>
      <c r="M12">
        <f>Sheet4!M12*11630/1000</f>
        <v>0</v>
      </c>
      <c r="O12" t="s">
        <v>67</v>
      </c>
    </row>
    <row r="13" spans="1:20" x14ac:dyDescent="0.35">
      <c r="A13" t="str">
        <f>Sheet1!A13</f>
        <v>Heat plants</v>
      </c>
      <c r="B13">
        <f>Sheet4!B13*11630/1000</f>
        <v>-604.76</v>
      </c>
      <c r="C13">
        <f>Sheet4!C13*11630/1000</f>
        <v>0</v>
      </c>
      <c r="D13">
        <f>Sheet4!D13*11630/1000</f>
        <v>-174.45</v>
      </c>
      <c r="E13">
        <f>Sheet4!E13*11630/1000</f>
        <v>-488.46</v>
      </c>
      <c r="F13">
        <f>Sheet4!F13*11630/1000</f>
        <v>0</v>
      </c>
      <c r="G13">
        <f>Sheet4!G13*11630/1000</f>
        <v>0</v>
      </c>
      <c r="H13">
        <f>Sheet4!H13*11630/1000</f>
        <v>0</v>
      </c>
      <c r="I13">
        <f>Sheet4!I13*11630/1000</f>
        <v>-197.71</v>
      </c>
      <c r="J13">
        <f>Sheet4!J13*11630/1000</f>
        <v>0</v>
      </c>
      <c r="K13">
        <f>Sheet4!K13*11630/1000</f>
        <v>1151.3699999999999</v>
      </c>
      <c r="L13">
        <f>Sheet4!L13*11630/1000</f>
        <v>-314.01</v>
      </c>
      <c r="M13">
        <f>Sheet4!M13*11630/1000</f>
        <v>0</v>
      </c>
    </row>
    <row r="14" spans="1:20" x14ac:dyDescent="0.35">
      <c r="A14" t="str">
        <f>Sheet1!A14</f>
        <v>Gas works</v>
      </c>
      <c r="B14">
        <f>Sheet4!B14*11630/1000</f>
        <v>0</v>
      </c>
      <c r="C14">
        <f>Sheet4!C14*11630/1000</f>
        <v>0</v>
      </c>
      <c r="D14">
        <f>Sheet4!D14*11630/1000</f>
        <v>0</v>
      </c>
      <c r="E14">
        <f>Sheet4!E14*11630/1000</f>
        <v>0</v>
      </c>
      <c r="F14">
        <f>Sheet4!F14*11630/1000</f>
        <v>0</v>
      </c>
      <c r="G14">
        <f>Sheet4!G14*11630/1000</f>
        <v>0</v>
      </c>
      <c r="H14">
        <f>Sheet4!H14*11630/1000</f>
        <v>0</v>
      </c>
      <c r="I14">
        <f>Sheet4!I14*11630/1000</f>
        <v>0</v>
      </c>
      <c r="J14">
        <f>Sheet4!J14*11630/1000</f>
        <v>0</v>
      </c>
      <c r="K14">
        <f>Sheet4!K14*11630/1000</f>
        <v>0</v>
      </c>
      <c r="L14">
        <f>Sheet4!L14*11630/1000</f>
        <v>0</v>
      </c>
      <c r="M14">
        <f>Sheet4!M14*11630/1000</f>
        <v>0</v>
      </c>
      <c r="O14" t="s">
        <v>68</v>
      </c>
    </row>
    <row r="15" spans="1:20" x14ac:dyDescent="0.35">
      <c r="A15" t="str">
        <f>Sheet1!A15</f>
        <v>Oil refineries</v>
      </c>
      <c r="B15">
        <f>Sheet4!B15*11630/1000</f>
        <v>0</v>
      </c>
      <c r="C15">
        <f>Sheet4!C15*11630/1000</f>
        <v>-10118.1</v>
      </c>
      <c r="D15">
        <f>Sheet4!D15*11630/1000</f>
        <v>9652.9</v>
      </c>
      <c r="E15">
        <f>Sheet4!E15*11630/1000</f>
        <v>0</v>
      </c>
      <c r="F15">
        <f>Sheet4!F15*11630/1000</f>
        <v>0</v>
      </c>
      <c r="G15">
        <f>Sheet4!G15*11630/1000</f>
        <v>0</v>
      </c>
      <c r="H15">
        <f>Sheet4!H15*11630/1000</f>
        <v>0</v>
      </c>
      <c r="I15">
        <f>Sheet4!I15*11630/1000</f>
        <v>0</v>
      </c>
      <c r="J15">
        <f>Sheet4!J15*11630/1000</f>
        <v>0</v>
      </c>
      <c r="K15">
        <f>Sheet4!K15*11630/1000</f>
        <v>0</v>
      </c>
      <c r="L15">
        <f>Sheet4!L15*11630/1000</f>
        <v>-465.2</v>
      </c>
      <c r="M15">
        <f>Sheet4!M15*11630/1000</f>
        <v>0</v>
      </c>
      <c r="O15" t="s">
        <v>31</v>
      </c>
      <c r="P15">
        <f>(D22/$D$21)*100</f>
        <v>7.3684210526315796</v>
      </c>
    </row>
    <row r="16" spans="1:20" x14ac:dyDescent="0.35">
      <c r="A16" t="str">
        <f>Sheet1!A16</f>
        <v>Coal transformation</v>
      </c>
      <c r="B16">
        <f>Sheet4!B16*11630/1000</f>
        <v>-2895.87</v>
      </c>
      <c r="C16">
        <f>Sheet4!C16*11630/1000</f>
        <v>0</v>
      </c>
      <c r="D16">
        <f>Sheet4!D16*11630/1000</f>
        <v>0</v>
      </c>
      <c r="E16">
        <f>Sheet4!E16*11630/1000</f>
        <v>0</v>
      </c>
      <c r="F16">
        <f>Sheet4!F16*11630/1000</f>
        <v>0</v>
      </c>
      <c r="G16">
        <f>Sheet4!G16*11630/1000</f>
        <v>0</v>
      </c>
      <c r="H16">
        <f>Sheet4!H16*11630/1000</f>
        <v>0</v>
      </c>
      <c r="I16">
        <f>Sheet4!I16*11630/1000</f>
        <v>0</v>
      </c>
      <c r="J16">
        <f>Sheet4!J16*11630/1000</f>
        <v>0</v>
      </c>
      <c r="K16">
        <f>Sheet4!K16*11630/1000</f>
        <v>0</v>
      </c>
      <c r="L16">
        <f>Sheet4!L16*11630/1000</f>
        <v>-2895.87</v>
      </c>
      <c r="M16">
        <f>Sheet4!M16*11630/1000</f>
        <v>0</v>
      </c>
      <c r="O16" t="s">
        <v>32</v>
      </c>
      <c r="P16">
        <f t="shared" ref="P16:P19" si="0">(D23/$D$21)*100</f>
        <v>77.96052631578948</v>
      </c>
    </row>
    <row r="17" spans="1:19" x14ac:dyDescent="0.35">
      <c r="A17" t="str">
        <f>Sheet1!A17</f>
        <v>Liquefication plants</v>
      </c>
      <c r="B17">
        <f>Sheet4!B17*11630/1000</f>
        <v>0</v>
      </c>
      <c r="C17">
        <f>Sheet4!C17*11630/1000</f>
        <v>0</v>
      </c>
      <c r="D17">
        <f>Sheet4!D17*11630/1000</f>
        <v>0</v>
      </c>
      <c r="E17">
        <f>Sheet4!E17*11630/1000</f>
        <v>0</v>
      </c>
      <c r="F17">
        <f>Sheet4!F17*11630/1000</f>
        <v>0</v>
      </c>
      <c r="G17">
        <f>Sheet4!G17*11630/1000</f>
        <v>0</v>
      </c>
      <c r="H17">
        <f>Sheet4!H17*11630/1000</f>
        <v>0</v>
      </c>
      <c r="I17">
        <f>Sheet4!I17*11630/1000</f>
        <v>0</v>
      </c>
      <c r="J17">
        <f>Sheet4!J17*11630/1000</f>
        <v>0</v>
      </c>
      <c r="K17">
        <f>Sheet4!K17*11630/1000</f>
        <v>0</v>
      </c>
      <c r="L17">
        <f>Sheet4!L17*11630/1000</f>
        <v>0</v>
      </c>
      <c r="M17">
        <f>Sheet4!M17*11630/1000</f>
        <v>0</v>
      </c>
      <c r="O17" t="s">
        <v>33</v>
      </c>
      <c r="P17">
        <f t="shared" si="0"/>
        <v>5.526315789473685</v>
      </c>
    </row>
    <row r="18" spans="1:19" x14ac:dyDescent="0.35">
      <c r="A18" t="str">
        <f>Sheet1!A18</f>
        <v>Other transformation</v>
      </c>
      <c r="B18">
        <f>Sheet4!B18*11630/1000</f>
        <v>0</v>
      </c>
      <c r="C18">
        <f>Sheet4!C18*11630/1000</f>
        <v>0</v>
      </c>
      <c r="D18">
        <f>Sheet4!D18*11630/1000</f>
        <v>0</v>
      </c>
      <c r="E18">
        <f>Sheet4!E18*11630/1000</f>
        <v>0</v>
      </c>
      <c r="F18">
        <f>Sheet4!F18*11630/1000</f>
        <v>0</v>
      </c>
      <c r="G18">
        <f>Sheet4!G18*11630/1000</f>
        <v>0</v>
      </c>
      <c r="H18">
        <f>Sheet4!H18*11630/1000</f>
        <v>0</v>
      </c>
      <c r="I18">
        <f>Sheet4!I18*11630/1000</f>
        <v>-593.13</v>
      </c>
      <c r="J18">
        <f>Sheet4!J18*11630/1000</f>
        <v>0</v>
      </c>
      <c r="K18">
        <f>Sheet4!K18*11630/1000</f>
        <v>0</v>
      </c>
      <c r="L18">
        <f>Sheet4!L18*11630/1000</f>
        <v>-593.13</v>
      </c>
      <c r="M18">
        <f>Sheet4!M18*11630/1000</f>
        <v>0</v>
      </c>
      <c r="O18" t="s">
        <v>34</v>
      </c>
      <c r="P18">
        <f t="shared" si="0"/>
        <v>3.3552631578947367</v>
      </c>
    </row>
    <row r="19" spans="1:19" x14ac:dyDescent="0.35">
      <c r="A19" t="str">
        <f>Sheet1!A19</f>
        <v>Energy industry own use</v>
      </c>
      <c r="B19">
        <f>Sheet4!B19*11630/1000</f>
        <v>-1744.5</v>
      </c>
      <c r="C19">
        <f>Sheet4!C19*11630/1000</f>
        <v>0</v>
      </c>
      <c r="D19">
        <f>Sheet4!D19*11630/1000</f>
        <v>-1604.94</v>
      </c>
      <c r="E19">
        <f>Sheet4!E19*11630/1000</f>
        <v>0</v>
      </c>
      <c r="F19">
        <f>Sheet4!F19*11630/1000</f>
        <v>0</v>
      </c>
      <c r="G19">
        <f>Sheet4!G19*11630/1000</f>
        <v>0</v>
      </c>
      <c r="H19">
        <f>Sheet4!H19*11630/1000</f>
        <v>0</v>
      </c>
      <c r="I19">
        <f>Sheet4!I19*11630/1000</f>
        <v>0</v>
      </c>
      <c r="J19">
        <f>Sheet4!J19*11630/1000</f>
        <v>-1558.42</v>
      </c>
      <c r="K19">
        <f>Sheet4!K19*11630/1000</f>
        <v>-11.63</v>
      </c>
      <c r="L19">
        <f>Sheet4!L19*11630/1000</f>
        <v>-4919.49</v>
      </c>
      <c r="M19">
        <f>Sheet4!M19*11630/1000</f>
        <v>0</v>
      </c>
      <c r="O19" t="s">
        <v>35</v>
      </c>
      <c r="P19">
        <f t="shared" si="0"/>
        <v>0.78947368421052633</v>
      </c>
    </row>
    <row r="20" spans="1:19" x14ac:dyDescent="0.35">
      <c r="A20" t="str">
        <f>Sheet1!A20</f>
        <v>Losses</v>
      </c>
      <c r="B20">
        <f>Sheet4!B20*11630/1000</f>
        <v>-34.89</v>
      </c>
      <c r="C20">
        <f>Sheet4!C20*11630/1000</f>
        <v>0</v>
      </c>
      <c r="D20">
        <f>Sheet4!D20*11630/1000</f>
        <v>0</v>
      </c>
      <c r="E20">
        <f>Sheet4!E20*11630/1000</f>
        <v>-11.63</v>
      </c>
      <c r="F20">
        <f>Sheet4!F20*11630/1000</f>
        <v>0</v>
      </c>
      <c r="G20">
        <f>Sheet4!G20*11630/1000</f>
        <v>0</v>
      </c>
      <c r="H20">
        <f>Sheet4!H20*11630/1000</f>
        <v>0</v>
      </c>
      <c r="I20">
        <f>Sheet4!I20*11630/1000</f>
        <v>0</v>
      </c>
      <c r="J20">
        <f>Sheet4!J20*11630/1000</f>
        <v>-1360.71</v>
      </c>
      <c r="K20">
        <f>Sheet4!K20*11630/1000</f>
        <v>-104.67</v>
      </c>
      <c r="L20">
        <f>Sheet4!L20*11630/1000</f>
        <v>-1511.9</v>
      </c>
      <c r="M20">
        <f>Sheet4!M20*11630/1000</f>
        <v>0</v>
      </c>
    </row>
    <row r="21" spans="1:19" x14ac:dyDescent="0.35">
      <c r="A21" s="4" t="str">
        <f>Sheet1!A21</f>
        <v>Total final consumption</v>
      </c>
      <c r="B21" s="4">
        <f>Sheet4!B21*11630/1000</f>
        <v>4396.1400000000003</v>
      </c>
      <c r="C21" s="4">
        <f>Sheet4!C21*11630/1000</f>
        <v>0</v>
      </c>
      <c r="D21" s="4">
        <f>Sheet4!D21*11630/1000</f>
        <v>17677.599999999999</v>
      </c>
      <c r="E21" s="4">
        <f>Sheet4!E21*11630/1000</f>
        <v>1570.05</v>
      </c>
      <c r="F21" s="4">
        <f>Sheet4!F21*11630/1000</f>
        <v>0</v>
      </c>
      <c r="G21" s="4">
        <f>Sheet4!G21*11630/1000</f>
        <v>0</v>
      </c>
      <c r="H21" s="4">
        <f>Sheet4!H21*11630/1000</f>
        <v>0</v>
      </c>
      <c r="I21" s="4">
        <f>Sheet4!I21*11630/1000</f>
        <v>5791.74</v>
      </c>
      <c r="J21" s="4">
        <f>Sheet4!J21*11630/1000</f>
        <v>11083.39</v>
      </c>
      <c r="K21" s="4">
        <f>Sheet4!K21*11630/1000</f>
        <v>1418.86</v>
      </c>
      <c r="L21" s="4">
        <f>Sheet4!L21*11630/1000</f>
        <v>41937.78</v>
      </c>
      <c r="M21" s="4">
        <f>Sheet4!M21*11630/1000</f>
        <v>0</v>
      </c>
      <c r="O21" t="s">
        <v>69</v>
      </c>
    </row>
    <row r="22" spans="1:19" x14ac:dyDescent="0.35">
      <c r="A22" t="str">
        <f>Sheet1!A22</f>
        <v>Industry</v>
      </c>
      <c r="B22">
        <f>Sheet4!B22*11630/1000</f>
        <v>2291.11</v>
      </c>
      <c r="C22">
        <f>Sheet4!C22*11630/1000</f>
        <v>0</v>
      </c>
      <c r="D22">
        <f>Sheet4!D22*11630/1000</f>
        <v>1302.56</v>
      </c>
      <c r="E22">
        <f>Sheet4!E22*11630/1000</f>
        <v>883.88</v>
      </c>
      <c r="F22">
        <f>Sheet4!F22*11630/1000</f>
        <v>0</v>
      </c>
      <c r="G22">
        <f>Sheet4!G22*11630/1000</f>
        <v>0</v>
      </c>
      <c r="H22">
        <f>Sheet4!H22*11630/1000</f>
        <v>0</v>
      </c>
      <c r="I22">
        <f>Sheet4!I22*11630/1000</f>
        <v>197.71</v>
      </c>
      <c r="J22">
        <f>Sheet4!J22*11630/1000</f>
        <v>4082.13</v>
      </c>
      <c r="K22">
        <f>Sheet4!K22*11630/1000</f>
        <v>11.63</v>
      </c>
      <c r="L22" s="1">
        <f>Sheet4!L22*11630/1000</f>
        <v>8769.02</v>
      </c>
      <c r="M22">
        <f>Sheet4!M22*11630/1000</f>
        <v>0</v>
      </c>
      <c r="O22" t="s">
        <v>31</v>
      </c>
      <c r="P22">
        <f>(E22/$E$21)*100</f>
        <v>56.296296296296298</v>
      </c>
    </row>
    <row r="23" spans="1:19" x14ac:dyDescent="0.35">
      <c r="A23" t="str">
        <f>Sheet1!A23</f>
        <v>Transport</v>
      </c>
      <c r="B23">
        <f>Sheet4!B23*11630/1000</f>
        <v>0</v>
      </c>
      <c r="C23">
        <f>Sheet4!C23*11630/1000</f>
        <v>0</v>
      </c>
      <c r="D23">
        <f>Sheet4!D23*11630/1000</f>
        <v>13781.55</v>
      </c>
      <c r="E23">
        <f>Sheet4!E23*11630/1000</f>
        <v>0</v>
      </c>
      <c r="F23">
        <f>Sheet4!F23*11630/1000</f>
        <v>0</v>
      </c>
      <c r="G23">
        <f>Sheet4!G23*11630/1000</f>
        <v>0</v>
      </c>
      <c r="H23">
        <f>Sheet4!H23*11630/1000</f>
        <v>0</v>
      </c>
      <c r="I23">
        <f>Sheet4!I23*11630/1000</f>
        <v>0</v>
      </c>
      <c r="J23">
        <f>Sheet4!J23*11630/1000</f>
        <v>69.78</v>
      </c>
      <c r="K23">
        <f>Sheet4!K23*11630/1000</f>
        <v>0</v>
      </c>
      <c r="L23" s="1">
        <f>Sheet4!L23*11630/1000</f>
        <v>13851.33</v>
      </c>
      <c r="M23">
        <f>Sheet4!M23*11630/1000</f>
        <v>0</v>
      </c>
      <c r="O23" t="s">
        <v>32</v>
      </c>
      <c r="P23">
        <f t="shared" ref="P23:P26" si="1">(E23/$E$21)*100</f>
        <v>0</v>
      </c>
    </row>
    <row r="24" spans="1:19" x14ac:dyDescent="0.35">
      <c r="A24" t="str">
        <f>Sheet1!A24</f>
        <v>Residential</v>
      </c>
      <c r="B24">
        <f>Sheet4!B24*11630/1000</f>
        <v>860.62</v>
      </c>
      <c r="C24">
        <f>Sheet4!C24*11630/1000</f>
        <v>0</v>
      </c>
      <c r="D24">
        <f>Sheet4!D24*11630/1000</f>
        <v>976.92</v>
      </c>
      <c r="E24">
        <f>Sheet4!E24*11630/1000</f>
        <v>407.05</v>
      </c>
      <c r="F24">
        <f>Sheet4!F24*11630/1000</f>
        <v>0</v>
      </c>
      <c r="G24">
        <f>Sheet4!G24*11630/1000</f>
        <v>0</v>
      </c>
      <c r="H24">
        <f>Sheet4!H24*11630/1000</f>
        <v>0</v>
      </c>
      <c r="I24">
        <f>Sheet4!I24*11630/1000</f>
        <v>5175.3500000000004</v>
      </c>
      <c r="J24">
        <f>Sheet4!J24*11630/1000</f>
        <v>4733.41</v>
      </c>
      <c r="K24">
        <f>Sheet4!K24*11630/1000</f>
        <v>1104.8499999999999</v>
      </c>
      <c r="L24" s="1">
        <f>Sheet4!L24*11630/1000</f>
        <v>13258.2</v>
      </c>
      <c r="M24">
        <f>Sheet4!M24*11630/1000</f>
        <v>0</v>
      </c>
      <c r="O24" t="s">
        <v>33</v>
      </c>
      <c r="P24">
        <f t="shared" si="1"/>
        <v>25.925925925925931</v>
      </c>
    </row>
    <row r="25" spans="1:19" x14ac:dyDescent="0.35">
      <c r="A25" t="str">
        <f>Sheet1!A25</f>
        <v>Commercial and public services</v>
      </c>
      <c r="B25">
        <f>Sheet4!B25*11630/1000</f>
        <v>1267.67</v>
      </c>
      <c r="C25">
        <f>Sheet4!C25*11630/1000</f>
        <v>0</v>
      </c>
      <c r="D25">
        <f>Sheet4!D25*11630/1000</f>
        <v>593.13</v>
      </c>
      <c r="E25">
        <f>Sheet4!E25*11630/1000</f>
        <v>290.75</v>
      </c>
      <c r="F25">
        <f>Sheet4!F25*11630/1000</f>
        <v>0</v>
      </c>
      <c r="G25">
        <f>Sheet4!G25*11630/1000</f>
        <v>0</v>
      </c>
      <c r="H25">
        <f>Sheet4!H25*11630/1000</f>
        <v>0</v>
      </c>
      <c r="I25">
        <f>Sheet4!I25*11630/1000</f>
        <v>418.68</v>
      </c>
      <c r="J25">
        <f>Sheet4!J25*11630/1000</f>
        <v>2139.92</v>
      </c>
      <c r="K25">
        <f>Sheet4!K25*11630/1000</f>
        <v>348.9</v>
      </c>
      <c r="L25" s="1">
        <f>Sheet4!L25*11630/1000</f>
        <v>5059.05</v>
      </c>
      <c r="M25">
        <f>Sheet4!M25*11630/1000</f>
        <v>0</v>
      </c>
      <c r="O25" t="s">
        <v>34</v>
      </c>
      <c r="P25">
        <f t="shared" si="1"/>
        <v>18.518518518518519</v>
      </c>
    </row>
    <row r="26" spans="1:19" x14ac:dyDescent="0.35">
      <c r="A26" t="str">
        <f>Sheet1!A26</f>
        <v>Agriculture/forestry</v>
      </c>
      <c r="B26">
        <f>Sheet4!B26*11630/1000</f>
        <v>0</v>
      </c>
      <c r="C26">
        <f>Sheet4!C26*11630/1000</f>
        <v>0</v>
      </c>
      <c r="D26">
        <f>Sheet4!D26*11630/1000</f>
        <v>139.56</v>
      </c>
      <c r="E26">
        <f>Sheet4!E26*11630/1000</f>
        <v>0</v>
      </c>
      <c r="F26">
        <f>Sheet4!F26*11630/1000</f>
        <v>0</v>
      </c>
      <c r="G26">
        <f>Sheet4!G26*11630/1000</f>
        <v>0</v>
      </c>
      <c r="H26">
        <f>Sheet4!H26*11630/1000</f>
        <v>0</v>
      </c>
      <c r="I26">
        <f>Sheet4!I26*11630/1000</f>
        <v>0</v>
      </c>
      <c r="J26">
        <f>Sheet4!J26*11630/1000</f>
        <v>69.78</v>
      </c>
      <c r="K26">
        <f>Sheet4!K26*11630/1000</f>
        <v>0</v>
      </c>
      <c r="L26" s="1">
        <f>Sheet4!L26*11630/1000</f>
        <v>209.34</v>
      </c>
      <c r="M26">
        <f>Sheet4!M26*11630/1000</f>
        <v>0</v>
      </c>
      <c r="O26" t="s">
        <v>35</v>
      </c>
      <c r="P26">
        <f t="shared" si="1"/>
        <v>0</v>
      </c>
    </row>
    <row r="27" spans="1:19" x14ac:dyDescent="0.35">
      <c r="A27" t="str">
        <f>Sheet1!A27</f>
        <v>Fishing</v>
      </c>
      <c r="B27">
        <f>Sheet4!B27*11630/1000</f>
        <v>0</v>
      </c>
      <c r="C27">
        <f>Sheet4!C27*11630/1000</f>
        <v>0</v>
      </c>
      <c r="D27">
        <f>Sheet4!D27*11630/1000</f>
        <v>0</v>
      </c>
      <c r="E27">
        <f>Sheet4!E27*11630/1000</f>
        <v>0</v>
      </c>
      <c r="F27">
        <f>Sheet4!F27*11630/1000</f>
        <v>0</v>
      </c>
      <c r="G27">
        <f>Sheet4!G27*11630/1000</f>
        <v>0</v>
      </c>
      <c r="H27">
        <f>Sheet4!H27*11630/1000</f>
        <v>0</v>
      </c>
      <c r="I27">
        <f>Sheet4!I27*11630/1000</f>
        <v>0</v>
      </c>
      <c r="J27">
        <f>Sheet4!J27*11630/1000</f>
        <v>0</v>
      </c>
      <c r="K27">
        <f>Sheet4!K27*11630/1000</f>
        <v>0</v>
      </c>
      <c r="L27">
        <f>Sheet4!L27*11630/1000</f>
        <v>0</v>
      </c>
      <c r="M27">
        <f>Sheet4!M27*11630/1000</f>
        <v>0</v>
      </c>
    </row>
    <row r="28" spans="1:19" x14ac:dyDescent="0.35">
      <c r="A28" t="str">
        <f>Sheet1!A28</f>
        <v>Non-specified</v>
      </c>
      <c r="B28">
        <f>Sheet4!B28*11630/1000</f>
        <v>0</v>
      </c>
      <c r="C28">
        <f>Sheet4!C28*11630/1000</f>
        <v>0</v>
      </c>
      <c r="D28">
        <f>Sheet4!D28*11630/1000</f>
        <v>0</v>
      </c>
      <c r="E28">
        <f>Sheet4!E28*11630/1000</f>
        <v>0</v>
      </c>
      <c r="F28">
        <f>Sheet4!F28*11630/1000</f>
        <v>0</v>
      </c>
      <c r="G28">
        <f>Sheet4!G28*11630/1000</f>
        <v>0</v>
      </c>
      <c r="H28">
        <f>Sheet4!H28*11630/1000</f>
        <v>0</v>
      </c>
      <c r="I28">
        <f>Sheet4!I28*11630/1000</f>
        <v>0</v>
      </c>
      <c r="J28">
        <f>Sheet4!J28*11630/1000</f>
        <v>0</v>
      </c>
      <c r="K28">
        <f>Sheet4!K28*11630/1000</f>
        <v>0</v>
      </c>
      <c r="L28">
        <f>Sheet4!L28*11630/1000</f>
        <v>0</v>
      </c>
      <c r="M28">
        <f>Sheet4!M28*11630/1000</f>
        <v>0</v>
      </c>
      <c r="O28" t="s">
        <v>70</v>
      </c>
      <c r="R28" t="s">
        <v>71</v>
      </c>
    </row>
    <row r="29" spans="1:19" x14ac:dyDescent="0.35">
      <c r="A29" t="str">
        <f>Sheet1!A29</f>
        <v>Non-energy use</v>
      </c>
      <c r="B29">
        <f>Sheet4!B29*11630/1000</f>
        <v>0</v>
      </c>
      <c r="C29">
        <f>Sheet4!C29*11630/1000</f>
        <v>0</v>
      </c>
      <c r="D29">
        <f>Sheet4!D29*11630/1000</f>
        <v>872.25</v>
      </c>
      <c r="E29">
        <f>Sheet4!E29*11630/1000</f>
        <v>0</v>
      </c>
      <c r="F29">
        <f>Sheet4!F29*11630/1000</f>
        <v>0</v>
      </c>
      <c r="G29">
        <f>Sheet4!G29*11630/1000</f>
        <v>0</v>
      </c>
      <c r="H29">
        <f>Sheet4!H29*11630/1000</f>
        <v>0</v>
      </c>
      <c r="I29">
        <f>Sheet4!I29*11630/1000</f>
        <v>0</v>
      </c>
      <c r="J29">
        <f>Sheet4!J29*11630/1000</f>
        <v>0</v>
      </c>
      <c r="K29">
        <f>Sheet4!K29*11630/1000</f>
        <v>0</v>
      </c>
      <c r="L29">
        <f>Sheet4!L29*11630/1000</f>
        <v>872.25</v>
      </c>
      <c r="M29">
        <f>Sheet4!M29*11630/1000</f>
        <v>0</v>
      </c>
      <c r="O29" t="s">
        <v>31</v>
      </c>
      <c r="P29">
        <f>(I22/$I$21)*100</f>
        <v>3.4136546184738958</v>
      </c>
      <c r="R29" t="s">
        <v>31</v>
      </c>
      <c r="S29">
        <f>(K22/$K$21)*100</f>
        <v>0.81967213114754101</v>
      </c>
    </row>
    <row r="30" spans="1:19" x14ac:dyDescent="0.35">
      <c r="A30" s="4"/>
      <c r="B30" s="4">
        <f>Sheet4!B30*11630/1000</f>
        <v>4419.3999999999996</v>
      </c>
      <c r="C30" s="4">
        <f>Sheet4!C30*11630/1000</f>
        <v>0</v>
      </c>
      <c r="D30" s="4">
        <f>Sheet4!D30*11630/1000</f>
        <v>17665.97</v>
      </c>
      <c r="E30" s="4">
        <f>Sheet4!E30*11630/1000</f>
        <v>1581.68</v>
      </c>
      <c r="F30" s="4">
        <f>Sheet4!F30*11630/1000</f>
        <v>0</v>
      </c>
      <c r="G30" s="4">
        <f>Sheet4!G30*11630/1000</f>
        <v>0</v>
      </c>
      <c r="H30" s="4">
        <f>Sheet4!H30*11630/1000</f>
        <v>0</v>
      </c>
      <c r="I30" s="4">
        <f>Sheet4!I30*11630/1000</f>
        <v>5791.74</v>
      </c>
      <c r="J30" s="4">
        <f>Sheet4!J30*11630/1000</f>
        <v>11095.02</v>
      </c>
      <c r="K30" s="4">
        <f>Sheet4!K30*11630/1000</f>
        <v>1465.38</v>
      </c>
      <c r="L30" s="4">
        <f>Sheet4!L30*11630/1000</f>
        <v>42019.19</v>
      </c>
      <c r="M30" s="4">
        <f>Sheet4!M30*11630/1000</f>
        <v>0</v>
      </c>
      <c r="O30" t="s">
        <v>32</v>
      </c>
      <c r="P30">
        <f t="shared" ref="P30:P33" si="2">(I23/$I$21)*100</f>
        <v>0</v>
      </c>
      <c r="R30" t="s">
        <v>32</v>
      </c>
      <c r="S30">
        <f t="shared" ref="S30:S33" si="3">(K23/$K$21)*100</f>
        <v>0</v>
      </c>
    </row>
    <row r="31" spans="1:19" x14ac:dyDescent="0.35">
      <c r="O31" t="s">
        <v>33</v>
      </c>
      <c r="P31">
        <f t="shared" si="2"/>
        <v>89.357429718875508</v>
      </c>
      <c r="R31" t="s">
        <v>33</v>
      </c>
      <c r="S31">
        <f t="shared" si="3"/>
        <v>77.868852459016395</v>
      </c>
    </row>
    <row r="32" spans="1:19" x14ac:dyDescent="0.35">
      <c r="O32" t="s">
        <v>34</v>
      </c>
      <c r="P32">
        <f t="shared" si="2"/>
        <v>7.2289156626506035</v>
      </c>
      <c r="R32" t="s">
        <v>34</v>
      </c>
      <c r="S32">
        <f t="shared" si="3"/>
        <v>24.590163934426229</v>
      </c>
    </row>
    <row r="33" spans="14:19" x14ac:dyDescent="0.35">
      <c r="O33" t="s">
        <v>35</v>
      </c>
      <c r="P33">
        <f t="shared" si="2"/>
        <v>0</v>
      </c>
      <c r="R33" t="s">
        <v>35</v>
      </c>
      <c r="S33">
        <f t="shared" si="3"/>
        <v>0</v>
      </c>
    </row>
    <row r="35" spans="14:19" x14ac:dyDescent="0.35">
      <c r="O35" t="s">
        <v>8</v>
      </c>
    </row>
    <row r="36" spans="14:19" x14ac:dyDescent="0.35">
      <c r="O36" t="s">
        <v>31</v>
      </c>
      <c r="P36">
        <f>(J22/$J$21)*100</f>
        <v>36.83105981112277</v>
      </c>
    </row>
    <row r="37" spans="14:19" x14ac:dyDescent="0.35">
      <c r="O37" t="s">
        <v>32</v>
      </c>
      <c r="P37">
        <f t="shared" ref="P37:P40" si="4">(J23/$J$21)*100</f>
        <v>0.62959076600209862</v>
      </c>
    </row>
    <row r="38" spans="14:19" x14ac:dyDescent="0.35">
      <c r="O38" t="s">
        <v>33</v>
      </c>
      <c r="P38">
        <f t="shared" si="4"/>
        <v>42.707240293809022</v>
      </c>
    </row>
    <row r="39" spans="14:19" x14ac:dyDescent="0.35">
      <c r="O39" t="s">
        <v>34</v>
      </c>
      <c r="P39">
        <f t="shared" si="4"/>
        <v>19.307450157397692</v>
      </c>
    </row>
    <row r="40" spans="14:19" x14ac:dyDescent="0.35">
      <c r="O40" t="s">
        <v>35</v>
      </c>
      <c r="P40">
        <f t="shared" si="4"/>
        <v>0.62959076600209862</v>
      </c>
    </row>
    <row r="42" spans="14:19" x14ac:dyDescent="0.35">
      <c r="O42" t="s">
        <v>76</v>
      </c>
    </row>
    <row r="43" spans="14:19" x14ac:dyDescent="0.35">
      <c r="N43" t="s">
        <v>31</v>
      </c>
      <c r="O43">
        <f>(B22/$B$21)*100</f>
        <v>52.116402116402114</v>
      </c>
    </row>
    <row r="44" spans="14:19" x14ac:dyDescent="0.35">
      <c r="N44" t="s">
        <v>32</v>
      </c>
      <c r="O44">
        <f t="shared" ref="O44:O47" si="5">(B23/$B$21)*100</f>
        <v>0</v>
      </c>
    </row>
    <row r="45" spans="14:19" x14ac:dyDescent="0.35">
      <c r="N45" t="s">
        <v>33</v>
      </c>
      <c r="O45">
        <f t="shared" si="5"/>
        <v>19.576719576719576</v>
      </c>
    </row>
    <row r="46" spans="14:19" x14ac:dyDescent="0.35">
      <c r="N46" t="s">
        <v>34</v>
      </c>
      <c r="O46">
        <f t="shared" si="5"/>
        <v>28.835978835978835</v>
      </c>
    </row>
    <row r="47" spans="14:19" x14ac:dyDescent="0.35">
      <c r="N47" t="s">
        <v>35</v>
      </c>
      <c r="O47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TJ_2019</vt:lpstr>
      <vt:lpstr>Sheet1</vt:lpstr>
      <vt:lpstr>pj</vt:lpstr>
      <vt:lpstr>Twh</vt:lpstr>
      <vt:lpstr>Sheet4</vt:lpstr>
      <vt:lpstr>pj (2)</vt:lpstr>
      <vt:lpstr>gwh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Ehlimana</dc:creator>
  <cp:lastModifiedBy>Ehlimana</cp:lastModifiedBy>
  <dcterms:created xsi:type="dcterms:W3CDTF">2021-06-11T08:58:49Z</dcterms:created>
  <dcterms:modified xsi:type="dcterms:W3CDTF">2022-02-03T20:27:19Z</dcterms:modified>
</cp:coreProperties>
</file>