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<sst xmlns="http://schemas.openxmlformats.org/spreadsheetml/2006/main" count="47" uniqueCount="47">
  <si>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 Time</t>
  </si>
  <si>
    <t>ΔTime (hrs.)</t>
  </si>
  <si>
    <t>FBG 1 Wavelength (nm.)</t>
  </si>
  <si>
    <t>FBG 1 Power (dBm.)</t>
  </si>
  <si>
    <t>FBG 2 Wavelength (nm.)</t>
  </si>
  <si>
    <t>FBG 2 Power (dBm.)</t>
  </si>
  <si>
    <t>FBG 3 Wavelength (nm.)</t>
  </si>
  <si>
    <t>FBG 3 Power (dBm.)</t>
  </si>
  <si>
    <t>FBG 4 Wavelength (nm.)</t>
  </si>
  <si>
    <t>FBG 4 Power (dBm.)</t>
  </si>
  <si>
    <t>FBG 5 Wavelength (nm.)</t>
  </si>
  <si>
    <t>FBG 5 Power (dBm.)</t>
  </si>
  <si>
    <t>FBG 6 Wavelength (nm.)</t>
  </si>
  <si>
    <t>FBG 6 Power (dBm.)</t>
  </si>
  <si>
    <t>FBG 7 Wavelength (nm.)</t>
  </si>
  <si>
    <t>FBG 7 Power (dBm.)</t>
  </si>
  <si>
    <t>Mean Temp (K)</t>
  </si>
  <si>
    <t>FBG 1 Δλ, from start (nm.)</t>
  </si>
  <si>
    <t>FBG 2 Δλ, from start (nm.)</t>
  </si>
  <si>
    <t>FBG 3 Δλ, from start (nm.)</t>
  </si>
  <si>
    <t>FBG 4 Δλ, from start (nm.)</t>
  </si>
  <si>
    <t>FBG 5 Δλ, from start (nm.)</t>
  </si>
  <si>
    <t>FBG 6 Δλ, from start (nm.)</t>
  </si>
  <si>
    <t>FBG 7 Δλ, from start (nm.)</t>
  </si>
  <si>
    <t>ΔT, from start (K)</t>
  </si>
  <si>
    <t>Mean raw Δλ, from start (pm.)</t>
  </si>
  <si>
    <t>Sat, 30 Sep 2017 16:09:40</t>
  </si>
  <si>
    <t>Sat, 30 Sep 2017 16:10:17</t>
  </si>
  <si>
    <t>Sat, 30 Sep 2017 16:10:51</t>
  </si>
  <si>
    <t>Sat, 30 Sep 2017 16:11:25</t>
  </si>
  <si>
    <t>Sat, 30 Sep 2017 16:12:00</t>
  </si>
  <si>
    <t>Sat, 30 Sep 2017 16:12:33</t>
  </si>
  <si>
    <t>Sat, 30 Sep 2017 16:13:09</t>
  </si>
  <si>
    <t>Sat, 30 Sep 2017 16:13:45</t>
  </si>
  <si>
    <t>Sat, 30 Sep 2017 16:14:20</t>
  </si>
  <si>
    <t>Sat, 30 Sep 2017 16:14:53</t>
  </si>
  <si>
    <t>Sat, 30 Sep 2017 16:15:27</t>
  </si>
  <si>
    <t>Sat, 30 Sep 2017 16:16:02</t>
  </si>
  <si>
    <t>Sat, 30 Sep 2017 16:16:37</t>
  </si>
  <si>
    <t>Sat, 30 Sep 2017 16:17:12</t>
  </si>
  <si>
    <t>Sat, 30 Sep 2017 16:17:47</t>
  </si>
  <si>
    <t>Sat, 30 Sep 2017 16:18:21</t>
  </si>
  <si>
    <t>Sat, 30 Sep 2017 16:18:55</t>
  </si>
  <si>
    <t>Sat, 30 Sep 2017 16:19:29</t>
  </si>
  <si>
    <t>Sat, 30 Sep 2017 16:20:02</t>
  </si>
  <si>
    <t>Sat, 30 Sep 2017 16:20:36</t>
  </si>
  <si>
    <t>Sat, 30 Sep 2017 16:21:10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</si>
</sst>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Baking: Δλ (pm) vs. Time (hr) from start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Raw Δλpm</c:v>
          </c:tx>
          <c:xVal>
            <c:numRef>
              <c:f>Sheet1!$B$2:$B$148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Sheet1!$Z$2:$Z$148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from start (hr)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Δλ average (pm)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</xdr:row>
      <xdr:rowOff>0</xdr:rowOff>
    </xdr:from>
    <xdr:to>
      <xdr:col>34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27" width="25.7109375" customWidth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9" t="s">
        <v>24</v>
      </c>
      <c r="Z1" s="1" t="s">
        <v>25</v>
      </c>
    </row>
    <row r="2" spans="1:26">
      <c r="A2" t="s">
        <v>26</v>
      </c>
      <c r="B2">
        <f>VALUE(0.0)</f>
        <v>0</v>
      </c>
      <c r="C2" s="10">
        <f>VALUE(1549.98654)</f>
        <v>0</v>
      </c>
      <c r="D2" s="10">
        <f>VALUE(-11.628)</f>
        <v>0</v>
      </c>
      <c r="E2" s="11">
        <f>VALUE(1551.05896)</f>
        <v>0</v>
      </c>
      <c r="F2" s="11">
        <f>VALUE(-18.382)</f>
        <v>0</v>
      </c>
      <c r="G2" s="12">
        <f>VALUE(1553.69358)</f>
        <v>0</v>
      </c>
      <c r="H2" s="12">
        <f>VALUE(-15.19)</f>
        <v>0</v>
      </c>
      <c r="I2" s="13">
        <f>VALUE(1547.45548)</f>
        <v>0</v>
      </c>
      <c r="J2" s="13">
        <f>VALUE(-13.04)</f>
        <v>0</v>
      </c>
      <c r="K2" s="14">
        <f>VALUE(1547.92456)</f>
        <v>0</v>
      </c>
      <c r="L2" s="14">
        <f>VALUE(-11.282)</f>
        <v>0</v>
      </c>
      <c r="M2" s="15">
        <f>VALUE(1553.62244)</f>
        <v>0</v>
      </c>
      <c r="N2" s="15">
        <f>VALUE(-11.776)</f>
        <v>0</v>
      </c>
      <c r="O2" s="16">
        <f>VALUE(1548.58042)</f>
        <v>0</v>
      </c>
      <c r="P2" s="16">
        <f>VALUE(-21.07)</f>
        <v>0</v>
      </c>
      <c r="Q2" s="17">
        <f>VALUE(299.793)</f>
        <v>0</v>
      </c>
      <c r="R2">
        <f>VALUE(0.0)</f>
        <v>0</v>
      </c>
      <c r="S2">
        <f>VALUE(0.0)</f>
        <v>0</v>
      </c>
      <c r="T2">
        <f>VALUE(0.0)</f>
        <v>0</v>
      </c>
      <c r="U2">
        <f>VALUE(0.0)</f>
        <v>0</v>
      </c>
      <c r="V2">
        <f>VALUE(0.0)</f>
        <v>0</v>
      </c>
      <c r="W2">
        <f>VALUE(0.0)</f>
        <v>0</v>
      </c>
      <c r="X2">
        <f>VALUE(0.0)</f>
        <v>0</v>
      </c>
      <c r="Y2" s="17">
        <f>VALUE(0.0)</f>
        <v>0</v>
      </c>
      <c r="Z2">
        <f>VALUE(0.0)</f>
        <v>0</v>
      </c>
    </row>
    <row r="3" spans="1:26">
      <c r="A3" t="s">
        <v>27</v>
      </c>
      <c r="B3">
        <f>VALUE(0.01026)</f>
        <v>0</v>
      </c>
      <c r="C3" s="10">
        <f>VALUE(1549.98718)</f>
        <v>0</v>
      </c>
      <c r="D3" s="10">
        <f>VALUE(-11.677999999999999)</f>
        <v>0</v>
      </c>
      <c r="E3" s="11">
        <f>VALUE(1551.05898)</f>
        <v>0</v>
      </c>
      <c r="F3" s="11">
        <f>VALUE(-18.398)</f>
        <v>0</v>
      </c>
      <c r="G3" s="12">
        <f>VALUE(1553.69414)</f>
        <v>0</v>
      </c>
      <c r="H3" s="12">
        <f>VALUE(-15.238)</f>
        <v>0</v>
      </c>
      <c r="I3" s="13">
        <f>VALUE(1545.02494)</f>
        <v>0</v>
      </c>
      <c r="J3" s="13">
        <f>VALUE(-10.8)</f>
        <v>0</v>
      </c>
      <c r="K3" s="14">
        <f>VALUE(1547.9246)</f>
        <v>0</v>
      </c>
      <c r="L3" s="14">
        <f>VALUE(-11.294)</f>
        <v>0</v>
      </c>
      <c r="M3" s="15">
        <f>VALUE(1553.62206)</f>
        <v>0</v>
      </c>
      <c r="N3" s="15">
        <f>VALUE(-11.777999999999999)</f>
        <v>0</v>
      </c>
      <c r="O3" s="16">
        <f>VALUE(1548.5803)</f>
        <v>0</v>
      </c>
      <c r="P3" s="16">
        <f>VALUE(-21.048000000000002)</f>
        <v>0</v>
      </c>
      <c r="Q3" s="17">
        <f>VALUE(299.79749999999996)</f>
        <v>0</v>
      </c>
      <c r="R3">
        <f>VALUE(0.0006399999999757711)</f>
        <v>0</v>
      </c>
      <c r="S3">
        <f>VALUE(1.9999999949504854e-05)</f>
        <v>0</v>
      </c>
      <c r="T3">
        <f>VALUE(0.000559999999950378)</f>
        <v>0</v>
      </c>
      <c r="U3">
        <f>VALUE(-2.4305400000000645)</f>
        <v>0</v>
      </c>
      <c r="V3">
        <f>VALUE(4.0000000126383384e-05)</f>
        <v>0</v>
      </c>
      <c r="W3">
        <f>VALUE(-0.0003800000001774606)</f>
        <v>0</v>
      </c>
      <c r="X3">
        <f>VALUE(-0.0001199999999244028)</f>
        <v>0</v>
      </c>
      <c r="Y3" s="17">
        <f>VALUE(0.0044999999999504325)</f>
        <v>0</v>
      </c>
      <c r="Z3">
        <f>VALUE(-347.11142857145205)</f>
        <v>0</v>
      </c>
    </row>
    <row r="4" spans="1:26">
      <c r="A4" t="s">
        <v>28</v>
      </c>
      <c r="B4">
        <f>VALUE(0.0197)</f>
        <v>0</v>
      </c>
      <c r="C4" s="10">
        <f>VALUE(1549.98656)</f>
        <v>0</v>
      </c>
      <c r="D4" s="10">
        <f>VALUE(-11.67)</f>
        <v>0</v>
      </c>
      <c r="E4" s="11">
        <f>VALUE(1551.0589400000001)</f>
        <v>0</v>
      </c>
      <c r="F4" s="11">
        <f>VALUE(-18.34)</f>
        <v>0</v>
      </c>
      <c r="G4" s="12">
        <f>VALUE(1553.6932199999999)</f>
        <v>0</v>
      </c>
      <c r="H4" s="12">
        <f>VALUE(-15.212)</f>
        <v>0</v>
      </c>
      <c r="I4" s="13">
        <f>VALUE(1546.7441800000001)</f>
        <v>0</v>
      </c>
      <c r="J4" s="13">
        <f>VALUE(-10.974)</f>
        <v>0</v>
      </c>
      <c r="K4" s="14">
        <f>VALUE(1547.92482)</f>
        <v>0</v>
      </c>
      <c r="L4" s="14">
        <f>VALUE(-11.31)</f>
        <v>0</v>
      </c>
      <c r="M4" s="15">
        <f>VALUE(1553.62254)</f>
        <v>0</v>
      </c>
      <c r="N4" s="15">
        <f>VALUE(-11.762)</f>
        <v>0</v>
      </c>
      <c r="O4" s="16">
        <f>VALUE(1548.58054)</f>
        <v>0</v>
      </c>
      <c r="P4" s="16">
        <f>VALUE(-21.088)</f>
        <v>0</v>
      </c>
      <c r="Q4" s="17">
        <f>VALUE(299.80249999999995)</f>
        <v>0</v>
      </c>
      <c r="R4">
        <f>VALUE(1.9999999949504854e-05)</f>
        <v>0</v>
      </c>
      <c r="S4">
        <f>VALUE(-2.000000017687853e-05)</f>
        <v>0</v>
      </c>
      <c r="T4">
        <f>VALUE(-0.0003600000000005821)</f>
        <v>0</v>
      </c>
      <c r="U4">
        <f>VALUE(-0.7113000000001648)</f>
        <v>0</v>
      </c>
      <c r="V4">
        <f>VALUE(0.00026000000002568413)</f>
        <v>0</v>
      </c>
      <c r="W4">
        <f>VALUE(9.999999997489795e-05)</f>
        <v>0</v>
      </c>
      <c r="X4">
        <f>VALUE(0.0001199999999244028)</f>
        <v>0</v>
      </c>
      <c r="Y4" s="17">
        <f>VALUE(0.009499999999945885)</f>
        <v>0</v>
      </c>
      <c r="Z4">
        <f>VALUE(-101.59714285720968)</f>
        <v>0</v>
      </c>
    </row>
    <row r="5" spans="1:26">
      <c r="A5" t="s">
        <v>29</v>
      </c>
      <c r="B5">
        <f>VALUE(0.02915)</f>
        <v>0</v>
      </c>
      <c r="C5" s="10">
        <f>VALUE(1549.9865)</f>
        <v>0</v>
      </c>
      <c r="D5" s="10">
        <f>VALUE(-11.655999999999999)</f>
        <v>0</v>
      </c>
      <c r="E5" s="11">
        <f>VALUE(1551.05916)</f>
        <v>0</v>
      </c>
      <c r="F5" s="11">
        <f>VALUE(-18.386)</f>
        <v>0</v>
      </c>
      <c r="G5" s="12">
        <f>VALUE(1553.69506)</f>
        <v>0</v>
      </c>
      <c r="H5" s="12">
        <f>VALUE(-15.192)</f>
        <v>0</v>
      </c>
      <c r="I5" s="13">
        <f>VALUE(1544.66966)</f>
        <v>0</v>
      </c>
      <c r="J5" s="13">
        <f>VALUE(-18.824)</f>
        <v>0</v>
      </c>
      <c r="K5" s="14">
        <f>VALUE(1547.34494)</f>
        <v>0</v>
      </c>
      <c r="L5" s="14">
        <f>VALUE(-11.208)</f>
        <v>0</v>
      </c>
      <c r="M5" s="15">
        <f>VALUE(1553.62302)</f>
        <v>0</v>
      </c>
      <c r="N5" s="15">
        <f>VALUE(-11.728)</f>
        <v>0</v>
      </c>
      <c r="O5" s="16">
        <f>VALUE(1548.58094)</f>
        <v>0</v>
      </c>
      <c r="P5" s="16">
        <f>VALUE(-21.06)</f>
        <v>0</v>
      </c>
      <c r="Q5" s="17">
        <f>VALUE(299.80699999999996)</f>
        <v>0</v>
      </c>
      <c r="R5">
        <f>VALUE(-4.0000000126383384e-05)</f>
        <v>0</v>
      </c>
      <c r="S5">
        <f>VALUE(0.0001999999999497959)</f>
        <v>0</v>
      </c>
      <c r="T5">
        <f>VALUE(0.001479999999901338)</f>
        <v>0</v>
      </c>
      <c r="U5">
        <f>VALUE(-2.785820000000058)</f>
        <v>0</v>
      </c>
      <c r="V5">
        <f>VALUE(-0.5796199999999772)</f>
        <v>0</v>
      </c>
      <c r="W5">
        <f>VALUE(0.0005799999998998828)</f>
        <v>0</v>
      </c>
      <c r="X5">
        <f>VALUE(0.0005200000000513683)</f>
        <v>0</v>
      </c>
      <c r="Y5" s="17">
        <f>VALUE(0.013999999999953161)</f>
        <v>0</v>
      </c>
      <c r="Z5">
        <f>VALUE(-480.3857142857656)</f>
        <v>0</v>
      </c>
    </row>
    <row r="6" spans="1:26">
      <c r="A6" t="s">
        <v>30</v>
      </c>
      <c r="B6">
        <f>VALUE(0.03875)</f>
        <v>0</v>
      </c>
      <c r="C6" s="10">
        <f>VALUE(1549.9869800000001)</f>
        <v>0</v>
      </c>
      <c r="D6" s="10">
        <f>VALUE(-11.67)</f>
        <v>0</v>
      </c>
      <c r="E6" s="11">
        <f>VALUE(1551.05846)</f>
        <v>0</v>
      </c>
      <c r="F6" s="11">
        <f>VALUE(-18.387999999999998)</f>
        <v>0</v>
      </c>
      <c r="G6" s="12">
        <f>VALUE(1553.69436)</f>
        <v>0</v>
      </c>
      <c r="H6" s="12">
        <f>VALUE(-15.216)</f>
        <v>0</v>
      </c>
      <c r="I6" s="13">
        <f>VALUE(1545.73558)</f>
        <v>0</v>
      </c>
      <c r="J6" s="13">
        <f>VALUE(-12.828)</f>
        <v>0</v>
      </c>
      <c r="K6" s="14">
        <f>VALUE(1547.9245)</f>
        <v>0</v>
      </c>
      <c r="L6" s="14">
        <f>VALUE(-11.325999999999999)</f>
        <v>0</v>
      </c>
      <c r="M6" s="15">
        <f>VALUE(1553.6218)</f>
        <v>0</v>
      </c>
      <c r="N6" s="15">
        <f>VALUE(-11.764000000000001)</f>
        <v>0</v>
      </c>
      <c r="O6" s="16">
        <f>VALUE(1548.58068)</f>
        <v>0</v>
      </c>
      <c r="P6" s="16">
        <f>VALUE(-21.061999999999998)</f>
        <v>0</v>
      </c>
      <c r="Q6" s="17">
        <f>VALUE(299.81149999999997)</f>
        <v>0</v>
      </c>
      <c r="R6">
        <f>VALUE(0.0004399999997986015)</f>
        <v>0</v>
      </c>
      <c r="S6">
        <f>VALUE(-0.0005000000001018634)</f>
        <v>0</v>
      </c>
      <c r="T6">
        <f>VALUE(0.0007799999998496787)</f>
        <v>0</v>
      </c>
      <c r="U6">
        <f>VALUE(-1.7199000000000524)</f>
        <v>0</v>
      </c>
      <c r="V6">
        <f>VALUE(-5.999999984851456e-05)</f>
        <v>0</v>
      </c>
      <c r="W6">
        <f>VALUE(-0.0006400000002031447)</f>
        <v>0</v>
      </c>
      <c r="X6">
        <f>VALUE(0.00026000000002568413)</f>
        <v>0</v>
      </c>
      <c r="Y6" s="17">
        <f>VALUE(0.018499999999960437)</f>
        <v>0</v>
      </c>
      <c r="Z6">
        <f>VALUE(-245.660000000076)</f>
        <v>0</v>
      </c>
    </row>
    <row r="7" spans="1:26">
      <c r="A7" t="s">
        <v>31</v>
      </c>
      <c r="B7">
        <f>VALUE(0.04806)</f>
        <v>0</v>
      </c>
      <c r="C7" s="10">
        <f>VALUE(1549.98704)</f>
        <v>0</v>
      </c>
      <c r="D7" s="10">
        <f>VALUE(-11.704)</f>
        <v>0</v>
      </c>
      <c r="E7" s="11">
        <f>VALUE(1551.05944)</f>
        <v>0</v>
      </c>
      <c r="F7" s="11">
        <f>VALUE(-18.39)</f>
        <v>0</v>
      </c>
      <c r="G7" s="12">
        <f>VALUE(1553.69426)</f>
        <v>0</v>
      </c>
      <c r="H7" s="12">
        <f>VALUE(-15.216)</f>
        <v>0</v>
      </c>
      <c r="I7" s="13">
        <f>VALUE(1546.74382)</f>
        <v>0</v>
      </c>
      <c r="J7" s="13">
        <f>VALUE(-11.002)</f>
        <v>0</v>
      </c>
      <c r="K7" s="14">
        <f>VALUE(1547.92492)</f>
        <v>0</v>
      </c>
      <c r="L7" s="14">
        <f>VALUE(-11.335999999999999)</f>
        <v>0</v>
      </c>
      <c r="M7" s="15">
        <f>VALUE(1553.6218199999998)</f>
        <v>0</v>
      </c>
      <c r="N7" s="15">
        <f>VALUE(-11.755999999999998)</f>
        <v>0</v>
      </c>
      <c r="O7" s="16">
        <f>VALUE(1548.58026)</f>
        <v>0</v>
      </c>
      <c r="P7" s="16">
        <f>VALUE(-21.08)</f>
        <v>0</v>
      </c>
      <c r="Q7" s="17">
        <f>VALUE(299.816)</f>
        <v>0</v>
      </c>
      <c r="R7">
        <f>VALUE(0.0004999999998744897)</f>
        <v>0</v>
      </c>
      <c r="S7">
        <f>VALUE(0.0004799999999249849)</f>
        <v>0</v>
      </c>
      <c r="T7">
        <f>VALUE(0.0006799999998747808)</f>
        <v>0</v>
      </c>
      <c r="U7">
        <f>VALUE(-0.7116600000001654)</f>
        <v>0</v>
      </c>
      <c r="V7">
        <f>VALUE(0.0003600000000005821)</f>
        <v>0</v>
      </c>
      <c r="W7">
        <f>VALUE(-0.0006200000000262662)</f>
        <v>0</v>
      </c>
      <c r="X7">
        <f>VALUE(-0.00016000000005078618)</f>
        <v>0</v>
      </c>
      <c r="Y7" s="17">
        <f>VALUE(0.022999999999967713)</f>
        <v>0</v>
      </c>
      <c r="Z7">
        <f>VALUE(-101.48857142865252)</f>
        <v>0</v>
      </c>
    </row>
    <row r="8" spans="1:26">
      <c r="A8" t="s">
        <v>32</v>
      </c>
      <c r="B8">
        <f>VALUE(0.05794)</f>
        <v>0</v>
      </c>
      <c r="C8" s="10">
        <f>VALUE(1549.9863599999999)</f>
        <v>0</v>
      </c>
      <c r="D8" s="10">
        <f>VALUE(-11.708)</f>
        <v>0</v>
      </c>
      <c r="E8" s="11">
        <f>VALUE(1551.05904)</f>
        <v>0</v>
      </c>
      <c r="F8" s="11">
        <f>VALUE(-18.424)</f>
        <v>0</v>
      </c>
      <c r="G8" s="12">
        <f>VALUE(1553.69488)</f>
        <v>0</v>
      </c>
      <c r="H8" s="12">
        <f>VALUE(-15.198)</f>
        <v>0</v>
      </c>
      <c r="I8" s="13">
        <f>VALUE(1546.7446400000001)</f>
        <v>0</v>
      </c>
      <c r="J8" s="13">
        <f>VALUE(-10.992)</f>
        <v>0</v>
      </c>
      <c r="K8" s="14">
        <f>VALUE(1547.92632)</f>
        <v>0</v>
      </c>
      <c r="L8" s="14">
        <f>VALUE(-11.35)</f>
        <v>0</v>
      </c>
      <c r="M8" s="15">
        <f>VALUE(1553.6236800000001)</f>
        <v>0</v>
      </c>
      <c r="N8" s="15">
        <f>VALUE(-11.735999999999999)</f>
        <v>0</v>
      </c>
      <c r="O8" s="16">
        <f>VALUE(1548.58116)</f>
        <v>0</v>
      </c>
      <c r="P8" s="16">
        <f>VALUE(-21.114)</f>
        <v>0</v>
      </c>
      <c r="Q8" s="17">
        <f>VALUE(299.82099999999997)</f>
        <v>0</v>
      </c>
      <c r="R8">
        <f>VALUE(-0.00018000000000029104)</f>
        <v>0</v>
      </c>
      <c r="S8">
        <f>VALUE(8.000000002539309e-05)</f>
        <v>0</v>
      </c>
      <c r="T8">
        <f>VALUE(0.001299999999901047)</f>
        <v>0</v>
      </c>
      <c r="U8">
        <f>VALUE(-0.7108400000001893)</f>
        <v>0</v>
      </c>
      <c r="V8">
        <f>VALUE(0.0017600000001039007)</f>
        <v>0</v>
      </c>
      <c r="W8">
        <f>VALUE(0.0012399999998251587)</f>
        <v>0</v>
      </c>
      <c r="X8">
        <f>VALUE(0.000739999999950669)</f>
        <v>0</v>
      </c>
      <c r="Y8" s="17">
        <f>VALUE(0.027999999999963165)</f>
        <v>0</v>
      </c>
      <c r="Z8">
        <f>VALUE(-100.84285714291192)</f>
        <v>0</v>
      </c>
    </row>
    <row r="9" spans="1:26">
      <c r="A9" t="s">
        <v>33</v>
      </c>
      <c r="B9">
        <f>VALUE(0.0679)</f>
        <v>0</v>
      </c>
      <c r="C9" s="10">
        <f>VALUE(1549.98738)</f>
        <v>0</v>
      </c>
      <c r="D9" s="10">
        <f>VALUE(-11.658)</f>
        <v>0</v>
      </c>
      <c r="E9" s="11">
        <f>VALUE(1551.05902)</f>
        <v>0</v>
      </c>
      <c r="F9" s="11">
        <f>VALUE(-18.354)</f>
        <v>0</v>
      </c>
      <c r="G9" s="12">
        <f>VALUE(1553.6953800000001)</f>
        <v>0</v>
      </c>
      <c r="H9" s="12">
        <f>VALUE(-15.2)</f>
        <v>0</v>
      </c>
      <c r="I9" s="13">
        <f>VALUE(1547.9884)</f>
        <v>0</v>
      </c>
      <c r="J9" s="13">
        <f>VALUE(-17.082)</f>
        <v>0</v>
      </c>
      <c r="K9" s="14">
        <f>VALUE(1547.3453)</f>
        <v>0</v>
      </c>
      <c r="L9" s="14">
        <f>VALUE(-11.196)</f>
        <v>0</v>
      </c>
      <c r="M9" s="15">
        <f>VALUE(1553.6228800000001)</f>
        <v>0</v>
      </c>
      <c r="N9" s="15">
        <f>VALUE(-11.732000000000001)</f>
        <v>0</v>
      </c>
      <c r="O9" s="16">
        <f>VALUE(1548.58168)</f>
        <v>0</v>
      </c>
      <c r="P9" s="16">
        <f>VALUE(-21.04)</f>
        <v>0</v>
      </c>
      <c r="Q9" s="17">
        <f>VALUE(299.8255)</f>
        <v>0</v>
      </c>
      <c r="R9">
        <f>VALUE(0.000839999999925567)</f>
        <v>0</v>
      </c>
      <c r="S9">
        <f>VALUE(5.999999984851456e-05)</f>
        <v>0</v>
      </c>
      <c r="T9">
        <f>VALUE(0.0017999999997755367)</f>
        <v>0</v>
      </c>
      <c r="U9">
        <f>VALUE(0.5329199999998764)</f>
        <v>0</v>
      </c>
      <c r="V9">
        <f>VALUE(-0.5792599999999766)</f>
        <v>0</v>
      </c>
      <c r="W9">
        <f>VALUE(0.0004399999997986015)</f>
        <v>0</v>
      </c>
      <c r="X9">
        <f>VALUE(0.0012600000000020373)</f>
        <v>0</v>
      </c>
      <c r="Y9" s="17">
        <f>VALUE(0.03249999999997044)</f>
        <v>0</v>
      </c>
      <c r="Z9">
        <f>VALUE(-5.991428571535705)</f>
        <v>0</v>
      </c>
    </row>
    <row r="10" spans="1:26">
      <c r="A10" t="s">
        <v>34</v>
      </c>
      <c r="B10">
        <f>VALUE(0.07762)</f>
        <v>0</v>
      </c>
      <c r="C10" s="10">
        <f>VALUE(1549.98716)</f>
        <v>0</v>
      </c>
      <c r="D10" s="10">
        <f>VALUE(-11.696)</f>
        <v>0</v>
      </c>
      <c r="E10" s="11">
        <f>VALUE(1551.05926)</f>
        <v>0</v>
      </c>
      <c r="F10" s="11">
        <f>VALUE(-18.387999999999998)</f>
        <v>0</v>
      </c>
      <c r="G10" s="12">
        <f>VALUE(1553.6947400000001)</f>
        <v>0</v>
      </c>
      <c r="H10" s="12">
        <f>VALUE(-15.196)</f>
        <v>0</v>
      </c>
      <c r="I10" s="13">
        <f>VALUE(1545.73604)</f>
        <v>0</v>
      </c>
      <c r="J10" s="13">
        <f>VALUE(-12.854000000000001)</f>
        <v>0</v>
      </c>
      <c r="K10" s="14">
        <f>VALUE(1547.92514)</f>
        <v>0</v>
      </c>
      <c r="L10" s="14">
        <f>VALUE(-11.368)</f>
        <v>0</v>
      </c>
      <c r="M10" s="15">
        <f>VALUE(1553.6241)</f>
        <v>0</v>
      </c>
      <c r="N10" s="15">
        <f>VALUE(-11.76)</f>
        <v>0</v>
      </c>
      <c r="O10" s="16">
        <f>VALUE(1548.58138)</f>
        <v>0</v>
      </c>
      <c r="P10" s="16">
        <f>VALUE(-21.055999999999997)</f>
        <v>0</v>
      </c>
      <c r="Q10" s="17">
        <f>VALUE(299.8305)</f>
        <v>0</v>
      </c>
      <c r="R10">
        <f>VALUE(0.0006199999997988925)</f>
        <v>0</v>
      </c>
      <c r="S10">
        <f>VALUE(0.00029999999992469384)</f>
        <v>0</v>
      </c>
      <c r="T10">
        <f>VALUE(0.0011599999997997656)</f>
        <v>0</v>
      </c>
      <c r="U10">
        <f>VALUE(-1.719440000000077)</f>
        <v>0</v>
      </c>
      <c r="V10">
        <f>VALUE(0.0005800000001272565)</f>
        <v>0</v>
      </c>
      <c r="W10">
        <f>VALUE(0.001659999999901629)</f>
        <v>0</v>
      </c>
      <c r="X10">
        <f>VALUE(0.0009600000000773434)</f>
        <v>0</v>
      </c>
      <c r="Y10" s="17">
        <f>VALUE(0.037499999999965894)</f>
        <v>0</v>
      </c>
      <c r="Z10">
        <f>VALUE(-244.88000000006392)</f>
        <v>0</v>
      </c>
    </row>
    <row r="11" spans="1:26">
      <c r="A11" t="s">
        <v>35</v>
      </c>
      <c r="B11">
        <f>VALUE(0.08695)</f>
        <v>0</v>
      </c>
      <c r="C11" s="10">
        <f>VALUE(1549.98774)</f>
        <v>0</v>
      </c>
      <c r="D11" s="10">
        <f>VALUE(-11.66)</f>
        <v>0</v>
      </c>
      <c r="E11" s="11">
        <f>VALUE(1551.0592800000002)</f>
        <v>0</v>
      </c>
      <c r="F11" s="11">
        <f>VALUE(-18.355999999999998)</f>
        <v>0</v>
      </c>
      <c r="G11" s="12">
        <f>VALUE(1553.69556)</f>
        <v>0</v>
      </c>
      <c r="H11" s="12">
        <f>VALUE(-15.187999999999999)</f>
        <v>0</v>
      </c>
      <c r="I11" s="13">
        <f>VALUE(1546.74462)</f>
        <v>0</v>
      </c>
      <c r="J11" s="13">
        <f>VALUE(-10.956)</f>
        <v>0</v>
      </c>
      <c r="K11" s="14">
        <f>VALUE(1547.92594)</f>
        <v>0</v>
      </c>
      <c r="L11" s="14">
        <f>VALUE(-11.32)</f>
        <v>0</v>
      </c>
      <c r="M11" s="15">
        <f>VALUE(1553.6232400000001)</f>
        <v>0</v>
      </c>
      <c r="N11" s="15">
        <f>VALUE(-11.72)</f>
        <v>0</v>
      </c>
      <c r="O11" s="16">
        <f>VALUE(1548.58114)</f>
        <v>0</v>
      </c>
      <c r="P11" s="16">
        <f>VALUE(-21.086)</f>
        <v>0</v>
      </c>
      <c r="Q11" s="17">
        <f>VALUE(299.835)</f>
        <v>0</v>
      </c>
      <c r="R11">
        <f>VALUE(0.001199999999926149)</f>
        <v>0</v>
      </c>
      <c r="S11">
        <f>VALUE(0.0003199999998741987)</f>
        <v>0</v>
      </c>
      <c r="T11">
        <f>VALUE(0.0019799999997758277)</f>
        <v>0</v>
      </c>
      <c r="U11">
        <f>VALUE(-0.7108600000001388)</f>
        <v>0</v>
      </c>
      <c r="V11">
        <f>VALUE(0.0013800000001538137)</f>
        <v>0</v>
      </c>
      <c r="W11">
        <f>VALUE(0.0007999999997991836)</f>
        <v>0</v>
      </c>
      <c r="X11">
        <f>VALUE(0.0007200000000011642)</f>
        <v>0</v>
      </c>
      <c r="Y11" s="17">
        <f>VALUE(0.04199999999997317)</f>
        <v>0</v>
      </c>
      <c r="Z11">
        <f>VALUE(-100.63714285722979)</f>
        <v>0</v>
      </c>
    </row>
    <row r="12" spans="1:26">
      <c r="A12" t="s">
        <v>36</v>
      </c>
      <c r="B12">
        <f>VALUE(0.09638)</f>
        <v>0</v>
      </c>
      <c r="C12" s="10">
        <f>VALUE(1549.9873)</f>
        <v>0</v>
      </c>
      <c r="D12" s="10">
        <f>VALUE(-11.672)</f>
        <v>0</v>
      </c>
      <c r="E12" s="11">
        <f>VALUE(1551.0592199999999)</f>
        <v>0</v>
      </c>
      <c r="F12" s="11">
        <f>VALUE(-18.366)</f>
        <v>0</v>
      </c>
      <c r="G12" s="12">
        <f>VALUE(1553.6952800000001)</f>
        <v>0</v>
      </c>
      <c r="H12" s="12">
        <f>VALUE(-15.164000000000001)</f>
        <v>0</v>
      </c>
      <c r="I12" s="13">
        <f>VALUE(1545.02558)</f>
        <v>0</v>
      </c>
      <c r="J12" s="13">
        <f>VALUE(-10.822000000000001)</f>
        <v>0</v>
      </c>
      <c r="K12" s="14">
        <f>VALUE(1547.92452)</f>
        <v>0</v>
      </c>
      <c r="L12" s="14">
        <f>VALUE(-11.29)</f>
        <v>0</v>
      </c>
      <c r="M12" s="15">
        <f>VALUE(1553.62258)</f>
        <v>0</v>
      </c>
      <c r="N12" s="15">
        <f>VALUE(-11.712)</f>
        <v>0</v>
      </c>
      <c r="O12" s="16">
        <f>VALUE(1548.58104)</f>
        <v>0</v>
      </c>
      <c r="P12" s="16">
        <f>VALUE(-21.058000000000003)</f>
        <v>0</v>
      </c>
      <c r="Q12" s="17">
        <f>VALUE(299.8395)</f>
        <v>0</v>
      </c>
      <c r="R12">
        <f>VALUE(0.0007599999999001739)</f>
        <v>0</v>
      </c>
      <c r="S12">
        <f>VALUE(0.00026000000002568413)</f>
        <v>0</v>
      </c>
      <c r="T12">
        <f>VALUE(0.0016999999998006388)</f>
        <v>0</v>
      </c>
      <c r="U12">
        <f>VALUE(-2.4299000000000888)</f>
        <v>0</v>
      </c>
      <c r="V12">
        <f>VALUE(-3.999999989900971e-05)</f>
        <v>0</v>
      </c>
      <c r="W12">
        <f>VALUE(0.00013999999987390765)</f>
        <v>0</v>
      </c>
      <c r="X12">
        <f>VALUE(0.0006200000000262662)</f>
        <v>0</v>
      </c>
      <c r="Y12" s="17">
        <f>VALUE(0.046499999999980446)</f>
        <v>0</v>
      </c>
      <c r="Z12">
        <f>VALUE(-346.6371428571944)</f>
        <v>0</v>
      </c>
    </row>
    <row r="13" spans="1:26">
      <c r="A13" t="s">
        <v>37</v>
      </c>
      <c r="B13">
        <f>VALUE(0.10612)</f>
        <v>0</v>
      </c>
      <c r="C13" s="10">
        <f>VALUE(1549.98714)</f>
        <v>0</v>
      </c>
      <c r="D13" s="10">
        <f>VALUE(-11.7)</f>
        <v>0</v>
      </c>
      <c r="E13" s="11">
        <f>VALUE(1551.0592199999999)</f>
        <v>0</v>
      </c>
      <c r="F13" s="11">
        <f>VALUE(-18.398)</f>
        <v>0</v>
      </c>
      <c r="G13" s="12">
        <f>VALUE(1553.69468)</f>
        <v>0</v>
      </c>
      <c r="H13" s="12">
        <f>VALUE(-15.276)</f>
        <v>0</v>
      </c>
      <c r="I13" s="13">
        <f>VALUE(1546.7436599999999)</f>
        <v>0</v>
      </c>
      <c r="J13" s="13">
        <f>VALUE(-11.107999999999999)</f>
        <v>0</v>
      </c>
      <c r="K13" s="14">
        <f>VALUE(1547.92542)</f>
        <v>0</v>
      </c>
      <c r="L13" s="14">
        <f>VALUE(-11.302)</f>
        <v>0</v>
      </c>
      <c r="M13" s="15">
        <f>VALUE(1553.62264)</f>
        <v>0</v>
      </c>
      <c r="N13" s="15">
        <f>VALUE(-11.784)</f>
        <v>0</v>
      </c>
      <c r="O13" s="16">
        <f>VALUE(1548.58144)</f>
        <v>0</v>
      </c>
      <c r="P13" s="16">
        <f>VALUE(-21.072)</f>
        <v>0</v>
      </c>
      <c r="Q13" s="17">
        <f>VALUE(299.8445)</f>
        <v>0</v>
      </c>
      <c r="R13">
        <f>VALUE(0.0005999999998493877)</f>
        <v>0</v>
      </c>
      <c r="S13">
        <f>VALUE(0.00026000000002568413)</f>
        <v>0</v>
      </c>
      <c r="T13">
        <f>VALUE(0.001099999999951251)</f>
        <v>0</v>
      </c>
      <c r="U13">
        <f>VALUE(-0.7118199999999888)</f>
        <v>0</v>
      </c>
      <c r="V13">
        <f>VALUE(0.0008600000001024455)</f>
        <v>0</v>
      </c>
      <c r="W13">
        <f>VALUE(0.0001999999999497959)</f>
        <v>0</v>
      </c>
      <c r="X13">
        <f>VALUE(0.001019999999925858)</f>
        <v>0</v>
      </c>
      <c r="Y13" s="17">
        <f>VALUE(0.0514999999999759)</f>
        <v>0</v>
      </c>
      <c r="Z13">
        <f>VALUE(-101.11142857145491)</f>
        <v>0</v>
      </c>
    </row>
    <row r="14" spans="1:26">
      <c r="A14" t="s">
        <v>38</v>
      </c>
      <c r="B14">
        <f>VALUE(0.11581)</f>
        <v>0</v>
      </c>
      <c r="C14" s="10">
        <f>VALUE(1549.98714)</f>
        <v>0</v>
      </c>
      <c r="D14" s="10">
        <f>VALUE(-11.602)</f>
        <v>0</v>
      </c>
      <c r="E14" s="11">
        <f>VALUE(1551.0595)</f>
        <v>0</v>
      </c>
      <c r="F14" s="11">
        <f>VALUE(-18.338)</f>
        <v>0</v>
      </c>
      <c r="G14" s="12">
        <f>VALUE(1553.69426)</f>
        <v>0</v>
      </c>
      <c r="H14" s="12">
        <f>VALUE(-15.192)</f>
        <v>0</v>
      </c>
      <c r="I14" s="13">
        <f>VALUE(1546.7444)</f>
        <v>0</v>
      </c>
      <c r="J14" s="13">
        <f>VALUE(-10.98)</f>
        <v>0</v>
      </c>
      <c r="K14" s="14">
        <f>VALUE(1546.76442)</f>
        <v>0</v>
      </c>
      <c r="L14" s="14">
        <f>VALUE(-11.092)</f>
        <v>0</v>
      </c>
      <c r="M14" s="15">
        <f>VALUE(1553.62292)</f>
        <v>0</v>
      </c>
      <c r="N14" s="15">
        <f>VALUE(-11.704)</f>
        <v>0</v>
      </c>
      <c r="O14" s="16">
        <f>VALUE(1548.58124)</f>
        <v>0</v>
      </c>
      <c r="P14" s="16">
        <f>VALUE(-21.081999999999997)</f>
        <v>0</v>
      </c>
      <c r="Q14" s="17">
        <f>VALUE(299.849)</f>
        <v>0</v>
      </c>
      <c r="R14">
        <f>VALUE(0.0005999999998493877)</f>
        <v>0</v>
      </c>
      <c r="S14">
        <f>VALUE(0.0005400000000008731)</f>
        <v>0</v>
      </c>
      <c r="T14">
        <f>VALUE(0.0006799999998747808)</f>
        <v>0</v>
      </c>
      <c r="U14">
        <f>VALUE(-0.7110800000000381)</f>
        <v>0</v>
      </c>
      <c r="V14">
        <f>VALUE(-1.1601399999999558)</f>
        <v>0</v>
      </c>
      <c r="W14">
        <f>VALUE(0.0004799999999249849)</f>
        <v>0</v>
      </c>
      <c r="X14">
        <f>VALUE(0.0008199999999760621)</f>
        <v>0</v>
      </c>
      <c r="Y14" s="17">
        <f>VALUE(0.055999999999983174)</f>
        <v>0</v>
      </c>
      <c r="Z14">
        <f>VALUE(-266.8714285714811)</f>
        <v>0</v>
      </c>
    </row>
    <row r="15" spans="1:26">
      <c r="A15" t="s">
        <v>39</v>
      </c>
      <c r="B15">
        <f>VALUE(0.12554)</f>
        <v>0</v>
      </c>
      <c r="C15" s="10">
        <f>VALUE(1549.9877)</f>
        <v>0</v>
      </c>
      <c r="D15" s="10">
        <f>VALUE(-11.664000000000001)</f>
        <v>0</v>
      </c>
      <c r="E15" s="11">
        <f>VALUE(1551.05844)</f>
        <v>0</v>
      </c>
      <c r="F15" s="11">
        <f>VALUE(-18.402)</f>
        <v>0</v>
      </c>
      <c r="G15" s="12">
        <f>VALUE(1553.69514)</f>
        <v>0</v>
      </c>
      <c r="H15" s="12">
        <f>VALUE(-15.242)</f>
        <v>0</v>
      </c>
      <c r="I15" s="13">
        <f>VALUE(1545.7360800000001)</f>
        <v>0</v>
      </c>
      <c r="J15" s="13">
        <f>VALUE(-12.844000000000001)</f>
        <v>0</v>
      </c>
      <c r="K15" s="14">
        <f>VALUE(1547.92494)</f>
        <v>0</v>
      </c>
      <c r="L15" s="14">
        <f>VALUE(-11.3)</f>
        <v>0</v>
      </c>
      <c r="M15" s="15">
        <f>VALUE(1553.62258)</f>
        <v>0</v>
      </c>
      <c r="N15" s="15">
        <f>VALUE(-11.754000000000001)</f>
        <v>0</v>
      </c>
      <c r="O15" s="16">
        <f>VALUE(1548.58148)</f>
        <v>0</v>
      </c>
      <c r="P15" s="16">
        <f>VALUE(-21.068)</f>
        <v>0</v>
      </c>
      <c r="Q15" s="17">
        <f>VALUE(299.854)</f>
        <v>0</v>
      </c>
      <c r="R15">
        <f>VALUE(0.0011599999997997656)</f>
        <v>0</v>
      </c>
      <c r="S15">
        <f>VALUE(-0.0005200000000513683)</f>
        <v>0</v>
      </c>
      <c r="T15">
        <f>VALUE(0.001559999999926731)</f>
        <v>0</v>
      </c>
      <c r="U15">
        <f>VALUE(-1.719400000000178)</f>
        <v>0</v>
      </c>
      <c r="V15">
        <f>VALUE(0.0003800000001774606)</f>
        <v>0</v>
      </c>
      <c r="W15">
        <f>VALUE(0.00013999999987390765)</f>
        <v>0</v>
      </c>
      <c r="X15">
        <f>VALUE(0.0010600000000522414)</f>
        <v>0</v>
      </c>
      <c r="Y15" s="17">
        <f>VALUE(0.06099999999997863)</f>
        <v>0</v>
      </c>
      <c r="Z15">
        <f>VALUE(-245.08857142862846)</f>
        <v>0</v>
      </c>
    </row>
    <row r="16" spans="1:26">
      <c r="A16" t="s">
        <v>40</v>
      </c>
      <c r="B16">
        <f>VALUE(0.13526)</f>
        <v>0</v>
      </c>
      <c r="C16" s="10">
        <f>VALUE(1549.98722)</f>
        <v>0</v>
      </c>
      <c r="D16" s="10">
        <f>VALUE(-11.686)</f>
        <v>0</v>
      </c>
      <c r="E16" s="11">
        <f>VALUE(1551.059)</f>
        <v>0</v>
      </c>
      <c r="F16" s="11">
        <f>VALUE(-18.394000000000002)</f>
        <v>0</v>
      </c>
      <c r="G16" s="12">
        <f>VALUE(1553.69516)</f>
        <v>0</v>
      </c>
      <c r="H16" s="12">
        <f>VALUE(-15.238)</f>
        <v>0</v>
      </c>
      <c r="I16" s="13">
        <f>VALUE(1545.02442)</f>
        <v>0</v>
      </c>
      <c r="J16" s="13">
        <f>VALUE(-10.814)</f>
        <v>0</v>
      </c>
      <c r="K16" s="14">
        <f>VALUE(1547.9261)</f>
        <v>0</v>
      </c>
      <c r="L16" s="14">
        <f>VALUE(-11.306)</f>
        <v>0</v>
      </c>
      <c r="M16" s="15">
        <f>VALUE(1553.62292)</f>
        <v>0</v>
      </c>
      <c r="N16" s="15">
        <f>VALUE(-11.784)</f>
        <v>0</v>
      </c>
      <c r="O16" s="16">
        <f>VALUE(1548.5812)</f>
        <v>0</v>
      </c>
      <c r="P16" s="16">
        <f>VALUE(-21.035999999999998)</f>
        <v>0</v>
      </c>
      <c r="Q16" s="17">
        <f>VALUE(299.8585)</f>
        <v>0</v>
      </c>
      <c r="R16">
        <f>VALUE(0.0006799999998747808)</f>
        <v>0</v>
      </c>
      <c r="S16">
        <f>VALUE(3.999999989900971e-05)</f>
        <v>0</v>
      </c>
      <c r="T16">
        <f>VALUE(0.001579999999876236)</f>
        <v>0</v>
      </c>
      <c r="U16">
        <f>VALUE(-2.431060000000116)</f>
        <v>0</v>
      </c>
      <c r="V16">
        <f>VALUE(0.0015399999999772263)</f>
        <v>0</v>
      </c>
      <c r="W16">
        <f>VALUE(0.0004799999999249849)</f>
        <v>0</v>
      </c>
      <c r="X16">
        <f>VALUE(0.0007800000000770524)</f>
        <v>0</v>
      </c>
      <c r="Y16" s="17">
        <f>VALUE(0.0654999999999859)</f>
        <v>0</v>
      </c>
      <c r="Z16">
        <f>VALUE(-346.5657142857838)</f>
        <v>0</v>
      </c>
    </row>
    <row r="17" spans="1:26">
      <c r="A17" t="s">
        <v>41</v>
      </c>
      <c r="B17">
        <f>VALUE(0.14473)</f>
        <v>0</v>
      </c>
      <c r="C17" s="10">
        <f>VALUE(1549.98806)</f>
        <v>0</v>
      </c>
      <c r="D17" s="10">
        <f>VALUE(-11.708)</f>
        <v>0</v>
      </c>
      <c r="E17" s="11">
        <f>VALUE(1551.05904)</f>
        <v>0</v>
      </c>
      <c r="F17" s="11">
        <f>VALUE(-18.354)</f>
        <v>0</v>
      </c>
      <c r="G17" s="12">
        <f>VALUE(1553.6951)</f>
        <v>0</v>
      </c>
      <c r="H17" s="12">
        <f>VALUE(-15.22)</f>
        <v>0</v>
      </c>
      <c r="I17" s="13">
        <f>VALUE(1546.74462)</f>
        <v>0</v>
      </c>
      <c r="J17" s="13">
        <f>VALUE(-11.194)</f>
        <v>0</v>
      </c>
      <c r="K17" s="14">
        <f>VALUE(1547.3456)</f>
        <v>0</v>
      </c>
      <c r="L17" s="14">
        <f>VALUE(-11.162)</f>
        <v>0</v>
      </c>
      <c r="M17" s="15">
        <f>VALUE(1553.62298)</f>
        <v>0</v>
      </c>
      <c r="N17" s="15">
        <f>VALUE(-11.762)</f>
        <v>0</v>
      </c>
      <c r="O17" s="16">
        <f>VALUE(1548.58114)</f>
        <v>0</v>
      </c>
      <c r="P17" s="16">
        <f>VALUE(-21.035999999999998)</f>
        <v>0</v>
      </c>
      <c r="Q17" s="17">
        <f>VALUE(299.8635)</f>
        <v>0</v>
      </c>
      <c r="R17">
        <f>VALUE(0.0015199999998003477)</f>
        <v>0</v>
      </c>
      <c r="S17">
        <f>VALUE(8.000000002539309e-05)</f>
        <v>0</v>
      </c>
      <c r="T17">
        <f>VALUE(0.0015199999998003477)</f>
        <v>0</v>
      </c>
      <c r="U17">
        <f>VALUE(-0.7108600000001388)</f>
        <v>0</v>
      </c>
      <c r="V17">
        <f>VALUE(-0.5789599999998245)</f>
        <v>0</v>
      </c>
      <c r="W17">
        <f>VALUE(0.0005400000000008731)</f>
        <v>0</v>
      </c>
      <c r="X17">
        <f>VALUE(0.0007200000000011642)</f>
        <v>0</v>
      </c>
      <c r="Y17" s="17">
        <f>VALUE(0.07049999999998136)</f>
        <v>0</v>
      </c>
      <c r="Z17">
        <f>VALUE(-183.6342857143336)</f>
        <v>0</v>
      </c>
    </row>
    <row r="18" spans="1:26">
      <c r="A18" t="s">
        <v>42</v>
      </c>
      <c r="B18">
        <f>VALUE(0.15403)</f>
        <v>0</v>
      </c>
      <c r="C18" s="10">
        <f>VALUE(1549.9869800000001)</f>
        <v>0</v>
      </c>
      <c r="D18" s="10">
        <f>VALUE(-11.658)</f>
        <v>0</v>
      </c>
      <c r="E18" s="11">
        <f>VALUE(1551.06008)</f>
        <v>0</v>
      </c>
      <c r="F18" s="11">
        <f>VALUE(-18.374000000000002)</f>
        <v>0</v>
      </c>
      <c r="G18" s="12">
        <f>VALUE(1553.69482)</f>
        <v>0</v>
      </c>
      <c r="H18" s="12">
        <f>VALUE(-15.208)</f>
        <v>0</v>
      </c>
      <c r="I18" s="13">
        <f>VALUE(1546.7209)</f>
        <v>0</v>
      </c>
      <c r="J18" s="13">
        <f>VALUE(-11.556)</f>
        <v>0</v>
      </c>
      <c r="K18" s="14">
        <f>VALUE(1547.34504)</f>
        <v>0</v>
      </c>
      <c r="L18" s="14">
        <f>VALUE(-11.222000000000001)</f>
        <v>0</v>
      </c>
      <c r="M18" s="15">
        <f>VALUE(1553.6231599999999)</f>
        <v>0</v>
      </c>
      <c r="N18" s="15">
        <f>VALUE(-11.75)</f>
        <v>0</v>
      </c>
      <c r="O18" s="16">
        <f>VALUE(1548.5818)</f>
        <v>0</v>
      </c>
      <c r="P18" s="16">
        <f>VALUE(-21.028000000000002)</f>
        <v>0</v>
      </c>
      <c r="Q18" s="17">
        <f>VALUE(299.868)</f>
        <v>0</v>
      </c>
      <c r="R18">
        <f>VALUE(0.0004399999997986015)</f>
        <v>0</v>
      </c>
      <c r="S18">
        <f>VALUE(0.001119999999900756)</f>
        <v>0</v>
      </c>
      <c r="T18">
        <f>VALUE(0.0012399999998251587)</f>
        <v>0</v>
      </c>
      <c r="U18">
        <f>VALUE(-0.7345800000000509)</f>
        <v>0</v>
      </c>
      <c r="V18">
        <f>VALUE(-0.5795200000000023)</f>
        <v>0</v>
      </c>
      <c r="W18">
        <f>VALUE(0.0007200000000011642)</f>
        <v>0</v>
      </c>
      <c r="X18">
        <f>VALUE(0.00137999999992644)</f>
        <v>0</v>
      </c>
      <c r="Y18" s="17">
        <f>VALUE(0.07499999999998863)</f>
        <v>0</v>
      </c>
      <c r="Z18">
        <f>VALUE(-187.02857142865727)</f>
        <v>0</v>
      </c>
    </row>
    <row r="19" spans="1:26">
      <c r="A19" t="s">
        <v>43</v>
      </c>
      <c r="B19">
        <f>VALUE(0.16336)</f>
        <v>0</v>
      </c>
      <c r="C19" s="10">
        <f>VALUE(1549.9873400000001)</f>
        <v>0</v>
      </c>
      <c r="D19" s="10">
        <f>VALUE(-11.718)</f>
        <v>0</v>
      </c>
      <c r="E19" s="11">
        <f>VALUE(1551.05946)</f>
        <v>0</v>
      </c>
      <c r="F19" s="11">
        <f>VALUE(-18.412)</f>
        <v>0</v>
      </c>
      <c r="G19" s="12">
        <f>VALUE(1553.69468)</f>
        <v>0</v>
      </c>
      <c r="H19" s="12">
        <f>VALUE(-15.208)</f>
        <v>0</v>
      </c>
      <c r="I19" s="13">
        <f>VALUE(1546.74398)</f>
        <v>0</v>
      </c>
      <c r="J19" s="13">
        <f>VALUE(-11.35)</f>
        <v>0</v>
      </c>
      <c r="K19" s="14">
        <f>VALUE(1547.92564)</f>
        <v>0</v>
      </c>
      <c r="L19" s="14">
        <f>VALUE(-11.308)</f>
        <v>0</v>
      </c>
      <c r="M19" s="15">
        <f>VALUE(1553.6227199999998)</f>
        <v>0</v>
      </c>
      <c r="N19" s="15">
        <f>VALUE(-11.755999999999998)</f>
        <v>0</v>
      </c>
      <c r="O19" s="16">
        <f>VALUE(1548.58138)</f>
        <v>0</v>
      </c>
      <c r="P19" s="16">
        <f>VALUE(-21.061999999999998)</f>
        <v>0</v>
      </c>
      <c r="Q19" s="17">
        <f>VALUE(299.87199999999996)</f>
        <v>0</v>
      </c>
      <c r="R19">
        <f>VALUE(0.0007999999997991836)</f>
        <v>0</v>
      </c>
      <c r="S19">
        <f>VALUE(0.0004999999998744897)</f>
        <v>0</v>
      </c>
      <c r="T19">
        <f>VALUE(0.001099999999951251)</f>
        <v>0</v>
      </c>
      <c r="U19">
        <f>VALUE(-0.7115000000001146)</f>
        <v>0</v>
      </c>
      <c r="V19">
        <f>VALUE(0.0010800000000017462)</f>
        <v>0</v>
      </c>
      <c r="W19">
        <f>VALUE(0.000279999999975189)</f>
        <v>0</v>
      </c>
      <c r="X19">
        <f>VALUE(0.0009600000000773434)</f>
        <v>0</v>
      </c>
      <c r="Y19" s="17">
        <f>VALUE(0.07899999999995089)</f>
        <v>0</v>
      </c>
      <c r="Z19">
        <f>VALUE(-100.96857142863362)</f>
        <v>0</v>
      </c>
    </row>
    <row r="20" spans="1:26">
      <c r="A20" t="s">
        <v>44</v>
      </c>
      <c r="B20">
        <f>VALUE(0.17276)</f>
        <v>0</v>
      </c>
      <c r="C20" s="10">
        <f>VALUE(1549.98836)</f>
        <v>0</v>
      </c>
      <c r="D20" s="10">
        <f>VALUE(-11.66)</f>
        <v>0</v>
      </c>
      <c r="E20" s="11">
        <f>VALUE(1551.05946)</f>
        <v>0</v>
      </c>
      <c r="F20" s="11">
        <f>VALUE(-18.402)</f>
        <v>0</v>
      </c>
      <c r="G20" s="12">
        <f>VALUE(1553.69558)</f>
        <v>0</v>
      </c>
      <c r="H20" s="12">
        <f>VALUE(-15.16)</f>
        <v>0</v>
      </c>
      <c r="I20" s="13">
        <f>VALUE(1545.02552)</f>
        <v>0</v>
      </c>
      <c r="J20" s="13">
        <f>VALUE(-10.776)</f>
        <v>0</v>
      </c>
      <c r="K20" s="14">
        <f>VALUE(1547.9251800000002)</f>
        <v>0</v>
      </c>
      <c r="L20" s="14">
        <f>VALUE(-11.312000000000001)</f>
        <v>0</v>
      </c>
      <c r="M20" s="15">
        <f>VALUE(1553.62266)</f>
        <v>0</v>
      </c>
      <c r="N20" s="15">
        <f>VALUE(-11.716)</f>
        <v>0</v>
      </c>
      <c r="O20" s="16">
        <f>VALUE(1548.5815400000001)</f>
        <v>0</v>
      </c>
      <c r="P20" s="16">
        <f>VALUE(-21.055999999999997)</f>
        <v>0</v>
      </c>
      <c r="Q20" s="17">
        <f>VALUE(299.87699999999995)</f>
        <v>0</v>
      </c>
      <c r="R20">
        <f>VALUE(0.0018199999999524152)</f>
        <v>0</v>
      </c>
      <c r="S20">
        <f>VALUE(0.0004999999998744897)</f>
        <v>0</v>
      </c>
      <c r="T20">
        <f>VALUE(0.0019999999999527063)</f>
        <v>0</v>
      </c>
      <c r="U20">
        <f>VALUE(-2.4299600000001647)</f>
        <v>0</v>
      </c>
      <c r="V20">
        <f>VALUE(0.0006200000000262662)</f>
        <v>0</v>
      </c>
      <c r="W20">
        <f>VALUE(0.00021999999989930075)</f>
        <v>0</v>
      </c>
      <c r="X20">
        <f>VALUE(0.001119999999900756)</f>
        <v>0</v>
      </c>
      <c r="Y20" s="17">
        <f>VALUE(0.08399999999994634)</f>
        <v>0</v>
      </c>
      <c r="Z20">
        <f>VALUE(-346.2400000000798)</f>
        <v>0</v>
      </c>
    </row>
    <row r="21" spans="1:26">
      <c r="A21" t="s">
        <v>45</v>
      </c>
      <c r="B21">
        <f>VALUE(0.18209)</f>
        <v>0</v>
      </c>
      <c r="C21" s="10">
        <f>VALUE(1549.9879)</f>
        <v>0</v>
      </c>
      <c r="D21" s="10">
        <f>VALUE(-11.708)</f>
        <v>0</v>
      </c>
      <c r="E21" s="11">
        <f>VALUE(1551.05934)</f>
        <v>0</v>
      </c>
      <c r="F21" s="11">
        <f>VALUE(-18.35)</f>
        <v>0</v>
      </c>
      <c r="G21" s="12">
        <f>VALUE(1553.69626)</f>
        <v>0</v>
      </c>
      <c r="H21" s="12">
        <f>VALUE(-15.165999999999999)</f>
        <v>0</v>
      </c>
      <c r="I21" s="13">
        <f>VALUE(1546.74484)</f>
        <v>0</v>
      </c>
      <c r="J21" s="13">
        <f>VALUE(-11.032)</f>
        <v>0</v>
      </c>
      <c r="K21" s="14">
        <f>VALUE(1547.9261)</f>
        <v>0</v>
      </c>
      <c r="L21" s="14">
        <f>VALUE(-11.284)</f>
        <v>0</v>
      </c>
      <c r="M21" s="15">
        <f>VALUE(1553.62308)</f>
        <v>0</v>
      </c>
      <c r="N21" s="15">
        <f>VALUE(-11.7)</f>
        <v>0</v>
      </c>
      <c r="O21" s="16">
        <f>VALUE(1548.58164)</f>
        <v>0</v>
      </c>
      <c r="P21" s="16">
        <f>VALUE(-21.061999999999998)</f>
        <v>0</v>
      </c>
      <c r="Q21" s="17">
        <f>VALUE(299.881)</f>
        <v>0</v>
      </c>
      <c r="R21">
        <f>VALUE(0.0013599999999769352)</f>
        <v>0</v>
      </c>
      <c r="S21">
        <f>VALUE(0.00037999999995008693)</f>
        <v>0</v>
      </c>
      <c r="T21">
        <f>VALUE(0.002679999999827487)</f>
        <v>0</v>
      </c>
      <c r="U21">
        <f>VALUE(-0.7106400000000122)</f>
        <v>0</v>
      </c>
      <c r="V21">
        <f>VALUE(0.0015399999999772263)</f>
        <v>0</v>
      </c>
      <c r="W21">
        <f>VALUE(0.0006399999999757711)</f>
        <v>0</v>
      </c>
      <c r="X21">
        <f>VALUE(0.0012200000001030276)</f>
        <v>0</v>
      </c>
      <c r="Y21" s="17">
        <f>VALUE(0.08799999999996544)</f>
        <v>0</v>
      </c>
      <c r="Z21">
        <f>VALUE(-100.40285714288595)</f>
        <v>0</v>
      </c>
    </row>
    <row r="22" spans="1:26">
      <c r="A22" t="s">
        <v>46</v>
      </c>
      <c r="B22">
        <f>VALUE(0.19158)</f>
        <v>0</v>
      </c>
      <c r="C22" s="10">
        <f>VALUE(1549.98828)</f>
        <v>0</v>
      </c>
      <c r="D22" s="10">
        <f>VALUE(-11.636)</f>
        <v>0</v>
      </c>
      <c r="E22" s="11">
        <f>VALUE(1551.06016)</f>
        <v>0</v>
      </c>
      <c r="F22" s="11">
        <f>VALUE(-18.352)</f>
        <v>0</v>
      </c>
      <c r="G22" s="12">
        <f>VALUE(1553.69526)</f>
        <v>0</v>
      </c>
      <c r="H22" s="12">
        <f>VALUE(-15.206)</f>
        <v>0</v>
      </c>
      <c r="I22" s="13">
        <f>VALUE(1547.1816199999998)</f>
        <v>0</v>
      </c>
      <c r="J22" s="13">
        <f>VALUE(-16.918)</f>
        <v>0</v>
      </c>
      <c r="K22" s="14">
        <f>VALUE(1547.92526)</f>
        <v>0</v>
      </c>
      <c r="L22" s="14">
        <f>VALUE(-11.318)</f>
        <v>0</v>
      </c>
      <c r="M22" s="15">
        <f>VALUE(1553.62298)</f>
        <v>0</v>
      </c>
      <c r="N22" s="15">
        <f>VALUE(-11.716)</f>
        <v>0</v>
      </c>
      <c r="O22" s="16">
        <f>VALUE(1548.58164)</f>
        <v>0</v>
      </c>
      <c r="P22" s="16">
        <f>VALUE(-21.046)</f>
        <v>0</v>
      </c>
      <c r="Q22" s="17">
        <f>VALUE(299.88649999999996)</f>
        <v>0</v>
      </c>
      <c r="R22">
        <f>VALUE(0.0017399999999270221)</f>
        <v>0</v>
      </c>
      <c r="S22">
        <f>VALUE(0.001199999999926149)</f>
        <v>0</v>
      </c>
      <c r="T22">
        <f>VALUE(0.001679999999851134)</f>
        <v>0</v>
      </c>
      <c r="U22">
        <f>VALUE(-0.2738600000000133)</f>
        <v>0</v>
      </c>
      <c r="V22">
        <f>VALUE(0.0007000000000516593)</f>
        <v>0</v>
      </c>
      <c r="W22">
        <f>VALUE(0.0005400000000008731)</f>
        <v>0</v>
      </c>
      <c r="X22">
        <f>VALUE(0.0012200000001030276)</f>
        <v>0</v>
      </c>
      <c r="Y22" s="17">
        <f>VALUE(0.09349999999994907)</f>
        <v>0</v>
      </c>
      <c r="Z22">
        <f>VALUE(-38.111428571450496)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2017-09-30T20:21:14Z</dcterms:created>
  <dcterms:modified xsi:type="dcterms:W3CDTF">2017-09-30T20:21:14Z</dcterms:modified>
</cp:coreProperties>
</file>