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326"/>
  <workbookPr filterPrivacy="1" defaultThemeVersion="124226"/>
  <bookViews>
    <workbookView xWindow="285" yWindow="255" windowWidth="18180" windowHeight="7500" tabRatio="949" xr2:uid="{00000000-000D-0000-FFFF-FFFF00000000}"/>
  </bookViews>
  <sheets>
    <sheet name="TotaalOverzicht" sheetId="7" r:id="rId1"/>
    <sheet name="Grafieken" sheetId="3" r:id="rId2"/>
    <sheet name="Ranking" sheetId="48" r:id="rId3"/>
    <sheet name="2017-Rechts" sheetId="79" r:id="rId4"/>
    <sheet name="2017-Tussen" sheetId="80" r:id="rId5"/>
    <sheet name="2017-Links" sheetId="76" r:id="rId6"/>
    <sheet name="2017-Tribune" sheetId="77" r:id="rId7"/>
    <sheet name="2017-Test" sheetId="75" r:id="rId8"/>
  </sheets>
  <definedNames>
    <definedName name="Print_Area" localSheetId="2">Ranking!$A$1:$Z$46</definedName>
    <definedName name="Print_Area" localSheetId="0">TotaalOverzicht!$A$1:$AQ$35</definedName>
  </definedNames>
  <calcPr calcId="171027"/>
</workbook>
</file>

<file path=xl/calcChain.xml><?xml version="1.0" encoding="utf-8"?>
<calcChain xmlns="http://schemas.openxmlformats.org/spreadsheetml/2006/main">
  <c r="V7" i="80" l="1"/>
  <c r="V62" i="80"/>
  <c r="V17" i="80"/>
  <c r="V35" i="80"/>
  <c r="V25" i="80"/>
  <c r="V89" i="80" l="1"/>
  <c r="V57" i="80"/>
  <c r="V59" i="80"/>
  <c r="S118" i="80"/>
  <c r="P118" i="80"/>
  <c r="M118" i="80"/>
  <c r="J118" i="80"/>
  <c r="G118" i="80"/>
  <c r="D118" i="80"/>
  <c r="B118" i="80"/>
  <c r="V117" i="80"/>
  <c r="V116" i="80"/>
  <c r="V115" i="80"/>
  <c r="V114" i="80"/>
  <c r="V113" i="80"/>
  <c r="V112" i="80"/>
  <c r="V111" i="80"/>
  <c r="V110" i="80"/>
  <c r="V109" i="80"/>
  <c r="V108" i="80"/>
  <c r="V107" i="80"/>
  <c r="V106" i="80"/>
  <c r="V105" i="80"/>
  <c r="V104" i="80"/>
  <c r="V103" i="80"/>
  <c r="V102" i="80"/>
  <c r="V101" i="80"/>
  <c r="V100" i="80"/>
  <c r="V99" i="80"/>
  <c r="V98" i="80"/>
  <c r="V97" i="80"/>
  <c r="V96" i="80"/>
  <c r="V95" i="80"/>
  <c r="V94" i="80"/>
  <c r="V93" i="80"/>
  <c r="V92" i="80"/>
  <c r="V90" i="80"/>
  <c r="V88" i="80"/>
  <c r="V87" i="80"/>
  <c r="V86" i="80"/>
  <c r="V85" i="80"/>
  <c r="V84" i="80"/>
  <c r="V83" i="80"/>
  <c r="V82" i="80"/>
  <c r="V81" i="80"/>
  <c r="V80" i="80"/>
  <c r="T76" i="80"/>
  <c r="S76" i="80"/>
  <c r="Q76" i="80"/>
  <c r="P76" i="80"/>
  <c r="N76" i="80"/>
  <c r="M76" i="80"/>
  <c r="K76" i="80"/>
  <c r="J76" i="80"/>
  <c r="H76" i="80"/>
  <c r="G76" i="80"/>
  <c r="E76" i="80"/>
  <c r="D76" i="80"/>
  <c r="B76" i="80"/>
  <c r="V74" i="80"/>
  <c r="V73" i="80"/>
  <c r="V72" i="80"/>
  <c r="V71" i="80"/>
  <c r="V70" i="80"/>
  <c r="V69" i="80"/>
  <c r="V68" i="80"/>
  <c r="T64" i="80"/>
  <c r="S64" i="80"/>
  <c r="Q64" i="80"/>
  <c r="P64" i="80"/>
  <c r="N64" i="80"/>
  <c r="M64" i="80"/>
  <c r="K64" i="80"/>
  <c r="J64" i="80"/>
  <c r="H64" i="80"/>
  <c r="G64" i="80"/>
  <c r="E64" i="80"/>
  <c r="D64" i="80"/>
  <c r="B64" i="80"/>
  <c r="V61" i="80"/>
  <c r="V60" i="80"/>
  <c r="V58" i="80"/>
  <c r="V56" i="80"/>
  <c r="V55" i="80"/>
  <c r="T51" i="80"/>
  <c r="S51" i="80"/>
  <c r="Q51" i="80"/>
  <c r="P51" i="80"/>
  <c r="N51" i="80"/>
  <c r="M51" i="80"/>
  <c r="K51" i="80"/>
  <c r="J51" i="80"/>
  <c r="H51" i="80"/>
  <c r="G51" i="80"/>
  <c r="E51" i="80"/>
  <c r="D51" i="80"/>
  <c r="B51" i="80"/>
  <c r="V49" i="80"/>
  <c r="V48" i="80"/>
  <c r="V47" i="80"/>
  <c r="V46" i="80"/>
  <c r="V45" i="80"/>
  <c r="V44" i="80"/>
  <c r="V43" i="80"/>
  <c r="V42" i="80"/>
  <c r="V41" i="80"/>
  <c r="T37" i="80"/>
  <c r="S37" i="80"/>
  <c r="U37" i="80" s="1"/>
  <c r="Q37" i="80"/>
  <c r="P37" i="80"/>
  <c r="N37" i="80"/>
  <c r="M37" i="80"/>
  <c r="O37" i="80" s="1"/>
  <c r="K37" i="80"/>
  <c r="J37" i="80"/>
  <c r="H37" i="80"/>
  <c r="G37" i="80"/>
  <c r="I37" i="80" s="1"/>
  <c r="E37" i="80"/>
  <c r="D37" i="80"/>
  <c r="B37" i="80"/>
  <c r="V34" i="80"/>
  <c r="V33" i="80"/>
  <c r="V32" i="80"/>
  <c r="V31" i="80"/>
  <c r="T27" i="80"/>
  <c r="S27" i="80"/>
  <c r="Q27" i="80"/>
  <c r="P27" i="80"/>
  <c r="N27" i="80"/>
  <c r="M27" i="80"/>
  <c r="K27" i="80"/>
  <c r="J27" i="80"/>
  <c r="H27" i="80"/>
  <c r="G27" i="80"/>
  <c r="E27" i="80"/>
  <c r="D27" i="80"/>
  <c r="B27" i="80"/>
  <c r="V24" i="80"/>
  <c r="V23" i="80"/>
  <c r="T19" i="80"/>
  <c r="S19" i="80"/>
  <c r="Q19" i="80"/>
  <c r="P19" i="80"/>
  <c r="N19" i="80"/>
  <c r="M19" i="80"/>
  <c r="K19" i="80"/>
  <c r="J19" i="80"/>
  <c r="H19" i="80"/>
  <c r="G19" i="80"/>
  <c r="E19" i="80"/>
  <c r="D19" i="80"/>
  <c r="B19" i="80"/>
  <c r="V16" i="80"/>
  <c r="V15" i="80"/>
  <c r="V14" i="80"/>
  <c r="V13" i="80"/>
  <c r="T9" i="80"/>
  <c r="S9" i="80"/>
  <c r="Q9" i="80"/>
  <c r="P9" i="80"/>
  <c r="N9" i="80"/>
  <c r="M9" i="80"/>
  <c r="K9" i="80"/>
  <c r="J9" i="80"/>
  <c r="H9" i="80"/>
  <c r="G9" i="80"/>
  <c r="E9" i="80"/>
  <c r="D9" i="80"/>
  <c r="B9" i="80"/>
  <c r="V6" i="80"/>
  <c r="V5" i="80"/>
  <c r="V4" i="80"/>
  <c r="V3" i="80"/>
  <c r="L27" i="80" l="1"/>
  <c r="L51" i="80"/>
  <c r="I9" i="80"/>
  <c r="U9" i="80"/>
  <c r="I19" i="80"/>
  <c r="V19" i="80"/>
  <c r="F9" i="80"/>
  <c r="V51" i="80"/>
  <c r="I51" i="80"/>
  <c r="O51" i="80"/>
  <c r="U51" i="80"/>
  <c r="I76" i="80"/>
  <c r="U76" i="80"/>
  <c r="V9" i="80"/>
  <c r="V37" i="80"/>
  <c r="L19" i="80"/>
  <c r="F27" i="80"/>
  <c r="O19" i="80"/>
  <c r="U19" i="80"/>
  <c r="I27" i="80"/>
  <c r="U27" i="80"/>
  <c r="F37" i="80"/>
  <c r="I64" i="80"/>
  <c r="O64" i="80"/>
  <c r="U64" i="80"/>
  <c r="R9" i="80"/>
  <c r="W19" i="80"/>
  <c r="W37" i="80"/>
  <c r="W51" i="80"/>
  <c r="O9" i="80"/>
  <c r="F19" i="80"/>
  <c r="F51" i="80"/>
  <c r="F64" i="80"/>
  <c r="R64" i="80"/>
  <c r="W9" i="80"/>
  <c r="L9" i="80"/>
  <c r="R19" i="80"/>
  <c r="O27" i="80"/>
  <c r="R51" i="80"/>
  <c r="F76" i="80"/>
  <c r="R27" i="80"/>
  <c r="V118" i="80"/>
  <c r="R76" i="80"/>
  <c r="O76" i="80"/>
  <c r="L76" i="80"/>
  <c r="V76" i="80"/>
  <c r="W76" i="80"/>
  <c r="V64" i="80"/>
  <c r="L64" i="80"/>
  <c r="W64" i="80"/>
  <c r="R37" i="80"/>
  <c r="L37" i="80"/>
  <c r="W27" i="80"/>
  <c r="V27" i="80"/>
  <c r="V115" i="79"/>
  <c r="V114" i="79"/>
  <c r="V113" i="79"/>
  <c r="V112" i="79"/>
  <c r="V111" i="79"/>
  <c r="V110" i="79"/>
  <c r="V109" i="79"/>
  <c r="V108" i="79"/>
  <c r="V107" i="79"/>
  <c r="V106" i="79"/>
  <c r="V98" i="79"/>
  <c r="V100" i="79"/>
  <c r="V105" i="79"/>
  <c r="V104" i="79"/>
  <c r="V103" i="79"/>
  <c r="V102" i="79"/>
  <c r="V101" i="79"/>
  <c r="V99" i="79"/>
  <c r="V97" i="79"/>
  <c r="V96" i="79"/>
  <c r="V95" i="79"/>
  <c r="V94" i="79"/>
  <c r="V93" i="79"/>
  <c r="V92" i="79"/>
  <c r="V91" i="79"/>
  <c r="V90" i="79"/>
  <c r="V88" i="79"/>
  <c r="V87" i="79"/>
  <c r="V86" i="79"/>
  <c r="V85" i="79"/>
  <c r="V84" i="79"/>
  <c r="V83" i="79"/>
  <c r="V82" i="79"/>
  <c r="V81" i="79"/>
  <c r="V80" i="79"/>
  <c r="V79" i="79"/>
  <c r="V74" i="79"/>
  <c r="V73" i="79"/>
  <c r="V72" i="79"/>
  <c r="V71" i="79"/>
  <c r="V70" i="79"/>
  <c r="V69" i="79"/>
  <c r="V68" i="79"/>
  <c r="V67" i="79"/>
  <c r="V66" i="79"/>
  <c r="V65" i="79"/>
  <c r="V64" i="79"/>
  <c r="V63" i="79"/>
  <c r="V62" i="79"/>
  <c r="V61" i="79"/>
  <c r="V56" i="79"/>
  <c r="V55" i="79"/>
  <c r="V54" i="79"/>
  <c r="V53" i="79"/>
  <c r="V52" i="79"/>
  <c r="V51" i="79"/>
  <c r="V46" i="79"/>
  <c r="V45" i="79"/>
  <c r="V44" i="79"/>
  <c r="V43" i="79"/>
  <c r="V42" i="79"/>
  <c r="V41" i="79"/>
  <c r="V40" i="79"/>
  <c r="V39" i="79"/>
  <c r="V38" i="79"/>
  <c r="V37" i="79"/>
  <c r="V32" i="79"/>
  <c r="V31" i="79"/>
  <c r="V30" i="79"/>
  <c r="V29" i="79"/>
  <c r="V28" i="79"/>
  <c r="V23" i="79"/>
  <c r="V22" i="79"/>
  <c r="V21" i="79"/>
  <c r="V16" i="79"/>
  <c r="V15" i="79"/>
  <c r="V14" i="79"/>
  <c r="V13" i="79"/>
  <c r="V12" i="79"/>
  <c r="V7" i="79"/>
  <c r="V6" i="79"/>
  <c r="V5" i="79"/>
  <c r="V4" i="79"/>
  <c r="V3" i="79"/>
  <c r="S116" i="79"/>
  <c r="T75" i="79"/>
  <c r="S75" i="79"/>
  <c r="T57" i="79"/>
  <c r="S57" i="79"/>
  <c r="T47" i="79"/>
  <c r="S47" i="79"/>
  <c r="T33" i="79"/>
  <c r="S33" i="79"/>
  <c r="T24" i="79"/>
  <c r="S24" i="79"/>
  <c r="T17" i="79"/>
  <c r="S17" i="79"/>
  <c r="T8" i="79"/>
  <c r="S8" i="79"/>
  <c r="P116" i="79"/>
  <c r="Q75" i="79"/>
  <c r="P75" i="79"/>
  <c r="Q57" i="79"/>
  <c r="P57" i="79"/>
  <c r="Q47" i="79"/>
  <c r="P47" i="79"/>
  <c r="R47" i="79" s="1"/>
  <c r="Q33" i="79"/>
  <c r="P33" i="79"/>
  <c r="Q24" i="79"/>
  <c r="P24" i="79"/>
  <c r="Q17" i="79"/>
  <c r="P17" i="79"/>
  <c r="Q8" i="79"/>
  <c r="P8" i="79"/>
  <c r="R8" i="79" s="1"/>
  <c r="M116" i="79"/>
  <c r="N75" i="79"/>
  <c r="M75" i="79"/>
  <c r="N57" i="79"/>
  <c r="M57" i="79"/>
  <c r="N47" i="79"/>
  <c r="M47" i="79"/>
  <c r="N33" i="79"/>
  <c r="M33" i="79"/>
  <c r="N24" i="79"/>
  <c r="M24" i="79"/>
  <c r="N17" i="79"/>
  <c r="M17" i="79"/>
  <c r="N8" i="79"/>
  <c r="M8" i="79"/>
  <c r="U115" i="77"/>
  <c r="U114" i="77"/>
  <c r="U113" i="77"/>
  <c r="U112" i="77"/>
  <c r="U111" i="77"/>
  <c r="U110" i="77"/>
  <c r="U109" i="77"/>
  <c r="U108" i="77"/>
  <c r="U107" i="77"/>
  <c r="U106" i="77"/>
  <c r="U105" i="77"/>
  <c r="U104" i="77"/>
  <c r="U103" i="77"/>
  <c r="U102" i="77"/>
  <c r="U101" i="77"/>
  <c r="U100" i="77"/>
  <c r="U99" i="77"/>
  <c r="U98" i="77"/>
  <c r="U97" i="77"/>
  <c r="U96" i="77"/>
  <c r="U95" i="77"/>
  <c r="U94" i="77"/>
  <c r="U93" i="77"/>
  <c r="U92" i="77"/>
  <c r="U91" i="77"/>
  <c r="U90" i="77"/>
  <c r="U88" i="77"/>
  <c r="U87" i="77"/>
  <c r="U86" i="77"/>
  <c r="U85" i="77"/>
  <c r="U84" i="77"/>
  <c r="U83" i="77"/>
  <c r="U82" i="77"/>
  <c r="U81" i="77"/>
  <c r="U80" i="77"/>
  <c r="U79" i="77"/>
  <c r="U74" i="77"/>
  <c r="U73" i="77"/>
  <c r="U72" i="77"/>
  <c r="U71" i="77"/>
  <c r="U70" i="77"/>
  <c r="U69" i="77"/>
  <c r="U68" i="77"/>
  <c r="U67" i="77"/>
  <c r="U66" i="77"/>
  <c r="U65" i="77"/>
  <c r="U64" i="77"/>
  <c r="U63" i="77"/>
  <c r="U62" i="77"/>
  <c r="U61" i="77"/>
  <c r="U56" i="77"/>
  <c r="U55" i="77"/>
  <c r="U54" i="77"/>
  <c r="U53" i="77"/>
  <c r="U52" i="77"/>
  <c r="U51" i="77"/>
  <c r="U46" i="77"/>
  <c r="U45" i="77"/>
  <c r="U44" i="77"/>
  <c r="U43" i="77"/>
  <c r="U42" i="77"/>
  <c r="U41" i="77"/>
  <c r="U40" i="77"/>
  <c r="U39" i="77"/>
  <c r="U38" i="77"/>
  <c r="U37" i="77"/>
  <c r="U32" i="77"/>
  <c r="U31" i="77"/>
  <c r="U30" i="77"/>
  <c r="U29" i="77"/>
  <c r="U28" i="77"/>
  <c r="U23" i="77"/>
  <c r="U22" i="77"/>
  <c r="U21" i="77"/>
  <c r="U16" i="77"/>
  <c r="U15" i="77"/>
  <c r="U14" i="77"/>
  <c r="U13" i="77"/>
  <c r="U12" i="77"/>
  <c r="U7" i="77"/>
  <c r="U6" i="77"/>
  <c r="U5" i="77"/>
  <c r="U4" i="77"/>
  <c r="U3" i="77"/>
  <c r="R116" i="77"/>
  <c r="S75" i="77"/>
  <c r="R75" i="77"/>
  <c r="S57" i="77"/>
  <c r="R57" i="77"/>
  <c r="T57" i="77" s="1"/>
  <c r="S47" i="77"/>
  <c r="R47" i="77"/>
  <c r="T47" i="77" s="1"/>
  <c r="S33" i="77"/>
  <c r="R33" i="77"/>
  <c r="S24" i="77"/>
  <c r="R24" i="77"/>
  <c r="S17" i="77"/>
  <c r="R17" i="77"/>
  <c r="S8" i="77"/>
  <c r="R8" i="77"/>
  <c r="T8" i="77" s="1"/>
  <c r="O116" i="77"/>
  <c r="P75" i="77"/>
  <c r="O75" i="77"/>
  <c r="P57" i="77"/>
  <c r="O57" i="77"/>
  <c r="Q57" i="77" s="1"/>
  <c r="Q47" i="77"/>
  <c r="P47" i="77"/>
  <c r="O47" i="77"/>
  <c r="P33" i="77"/>
  <c r="Q33" i="77" s="1"/>
  <c r="O33" i="77"/>
  <c r="P24" i="77"/>
  <c r="O24" i="77"/>
  <c r="P17" i="77"/>
  <c r="O17" i="77"/>
  <c r="P8" i="77"/>
  <c r="O8" i="77"/>
  <c r="Q8" i="77" s="1"/>
  <c r="L116" i="77"/>
  <c r="M75" i="77"/>
  <c r="L75" i="77"/>
  <c r="M57" i="77"/>
  <c r="L57" i="77"/>
  <c r="M47" i="77"/>
  <c r="L47" i="77"/>
  <c r="M33" i="77"/>
  <c r="L33" i="77"/>
  <c r="M24" i="77"/>
  <c r="L24" i="77"/>
  <c r="M17" i="77"/>
  <c r="L17" i="77"/>
  <c r="M8" i="77"/>
  <c r="L8" i="77"/>
  <c r="U94" i="75"/>
  <c r="U93" i="75"/>
  <c r="U92" i="75"/>
  <c r="U91" i="75"/>
  <c r="U90" i="75"/>
  <c r="U89" i="75"/>
  <c r="U88" i="75"/>
  <c r="U87" i="75"/>
  <c r="U86" i="75"/>
  <c r="U85" i="75"/>
  <c r="U84" i="75"/>
  <c r="U83" i="75"/>
  <c r="U82" i="75"/>
  <c r="U81" i="75"/>
  <c r="U80" i="75"/>
  <c r="U75" i="75"/>
  <c r="U74" i="75"/>
  <c r="U73" i="75"/>
  <c r="U72" i="75"/>
  <c r="U71" i="75"/>
  <c r="U70" i="75"/>
  <c r="U69" i="75"/>
  <c r="U68" i="75"/>
  <c r="U67" i="75"/>
  <c r="U62" i="75"/>
  <c r="U61" i="75"/>
  <c r="U60" i="75"/>
  <c r="U59" i="75"/>
  <c r="U58" i="75"/>
  <c r="U57" i="75"/>
  <c r="U56" i="75"/>
  <c r="U55" i="75"/>
  <c r="U54" i="75"/>
  <c r="U49" i="75"/>
  <c r="U48" i="75"/>
  <c r="U47" i="75"/>
  <c r="U46" i="75"/>
  <c r="U45" i="75"/>
  <c r="U44" i="75"/>
  <c r="U43" i="75"/>
  <c r="U42" i="75"/>
  <c r="U41" i="75"/>
  <c r="U40" i="75"/>
  <c r="U39" i="75"/>
  <c r="U38" i="75"/>
  <c r="U37" i="75"/>
  <c r="U36" i="75"/>
  <c r="U35" i="75"/>
  <c r="U34" i="75"/>
  <c r="U33" i="75"/>
  <c r="U32" i="75"/>
  <c r="U31" i="75"/>
  <c r="U30" i="75"/>
  <c r="U25" i="75"/>
  <c r="U24" i="75"/>
  <c r="U23" i="75"/>
  <c r="U18" i="75"/>
  <c r="U17" i="75"/>
  <c r="U16" i="75"/>
  <c r="U15" i="75"/>
  <c r="U14" i="75"/>
  <c r="U13" i="75"/>
  <c r="U8" i="75"/>
  <c r="U7" i="75"/>
  <c r="U6" i="75"/>
  <c r="U5" i="75"/>
  <c r="U4" i="75"/>
  <c r="U3" i="75"/>
  <c r="R135" i="75"/>
  <c r="S95" i="75"/>
  <c r="R95" i="75"/>
  <c r="S76" i="75"/>
  <c r="R76" i="75"/>
  <c r="T76" i="75" s="1"/>
  <c r="S63" i="75"/>
  <c r="S64" i="75" s="1"/>
  <c r="R63" i="75"/>
  <c r="S50" i="75"/>
  <c r="R50" i="75"/>
  <c r="T50" i="75" s="1"/>
  <c r="S26" i="75"/>
  <c r="R26" i="75"/>
  <c r="S19" i="75"/>
  <c r="R19" i="75"/>
  <c r="T19" i="75" s="1"/>
  <c r="S9" i="75"/>
  <c r="R9" i="75"/>
  <c r="O135" i="75"/>
  <c r="P95" i="75"/>
  <c r="O95" i="75"/>
  <c r="P76" i="75"/>
  <c r="O76" i="75"/>
  <c r="P63" i="75"/>
  <c r="P64" i="75" s="1"/>
  <c r="O63" i="75"/>
  <c r="P50" i="75"/>
  <c r="O50" i="75"/>
  <c r="P26" i="75"/>
  <c r="Q26" i="75" s="1"/>
  <c r="O26" i="75"/>
  <c r="P19" i="75"/>
  <c r="O19" i="75"/>
  <c r="P9" i="75"/>
  <c r="O9" i="75"/>
  <c r="L135" i="75"/>
  <c r="M95" i="75"/>
  <c r="N95" i="75" s="1"/>
  <c r="L95" i="75"/>
  <c r="M76" i="75"/>
  <c r="L76" i="75"/>
  <c r="M63" i="75"/>
  <c r="M64" i="75" s="1"/>
  <c r="L63" i="75"/>
  <c r="M50" i="75"/>
  <c r="L50" i="75"/>
  <c r="M26" i="75"/>
  <c r="L26" i="75"/>
  <c r="M19" i="75"/>
  <c r="L19" i="75"/>
  <c r="N19" i="75" s="1"/>
  <c r="M9" i="75"/>
  <c r="N9" i="75" s="1"/>
  <c r="L9" i="75"/>
  <c r="N33" i="77" l="1"/>
  <c r="Q24" i="77"/>
  <c r="N8" i="77"/>
  <c r="N24" i="77"/>
  <c r="N47" i="77"/>
  <c r="N75" i="77"/>
  <c r="N26" i="75"/>
  <c r="N63" i="75"/>
  <c r="N64" i="75" s="1"/>
  <c r="Q9" i="75"/>
  <c r="T9" i="75"/>
  <c r="T95" i="75"/>
  <c r="X9" i="80"/>
  <c r="X19" i="80"/>
  <c r="X51" i="80"/>
  <c r="X37" i="80"/>
  <c r="T17" i="77"/>
  <c r="X27" i="80"/>
  <c r="X64" i="80"/>
  <c r="X76" i="80"/>
  <c r="R75" i="79"/>
  <c r="O47" i="79"/>
  <c r="O17" i="79"/>
  <c r="R57" i="79"/>
  <c r="U33" i="79"/>
  <c r="U8" i="79"/>
  <c r="U24" i="79"/>
  <c r="U47" i="79"/>
  <c r="U75" i="79"/>
  <c r="R33" i="79"/>
  <c r="Q19" i="75"/>
  <c r="Q50" i="75"/>
  <c r="Q76" i="75"/>
  <c r="N50" i="75"/>
  <c r="Q63" i="75"/>
  <c r="Q64" i="75" s="1"/>
  <c r="Q95" i="75"/>
  <c r="T26" i="75"/>
  <c r="T63" i="75"/>
  <c r="T64" i="75" s="1"/>
  <c r="N17" i="77"/>
  <c r="Q75" i="77"/>
  <c r="T24" i="77"/>
  <c r="N57" i="77"/>
  <c r="T75" i="77"/>
  <c r="R17" i="79"/>
  <c r="U17" i="79"/>
  <c r="O8" i="79"/>
  <c r="R24" i="79"/>
  <c r="U57" i="79"/>
  <c r="O75" i="79"/>
  <c r="O24" i="79"/>
  <c r="N76" i="75"/>
  <c r="O57" i="79"/>
  <c r="O33" i="79"/>
  <c r="T33" i="77"/>
  <c r="Q17" i="77"/>
  <c r="U134" i="75" l="1"/>
  <c r="U133" i="75"/>
  <c r="U132" i="75"/>
  <c r="U131" i="75"/>
  <c r="U130" i="75"/>
  <c r="U129" i="75"/>
  <c r="U128" i="75"/>
  <c r="U127" i="75"/>
  <c r="U126" i="75"/>
  <c r="U125" i="75"/>
  <c r="U124" i="75"/>
  <c r="U123" i="75"/>
  <c r="U122" i="75"/>
  <c r="U121" i="75"/>
  <c r="U120" i="75"/>
  <c r="U119" i="75"/>
  <c r="U118" i="75"/>
  <c r="U117" i="75"/>
  <c r="U116" i="75"/>
  <c r="U115" i="75"/>
  <c r="U114" i="75"/>
  <c r="U113" i="75"/>
  <c r="U112" i="75"/>
  <c r="U111" i="75"/>
  <c r="U110" i="75"/>
  <c r="U109" i="75"/>
  <c r="U108" i="75"/>
  <c r="U106" i="75"/>
  <c r="U105" i="75"/>
  <c r="U104" i="75"/>
  <c r="U103" i="75"/>
  <c r="U102" i="75"/>
  <c r="U101" i="75"/>
  <c r="U100" i="75"/>
  <c r="U99" i="75"/>
  <c r="I135" i="75"/>
  <c r="J95" i="75"/>
  <c r="I95" i="75"/>
  <c r="K95" i="75" s="1"/>
  <c r="J76" i="75"/>
  <c r="I76" i="75"/>
  <c r="K76" i="75" s="1"/>
  <c r="J63" i="75"/>
  <c r="J64" i="75" s="1"/>
  <c r="I63" i="75"/>
  <c r="K63" i="75" s="1"/>
  <c r="K64" i="75" s="1"/>
  <c r="J50" i="75"/>
  <c r="I50" i="75"/>
  <c r="K50" i="75" s="1"/>
  <c r="J26" i="75"/>
  <c r="I26" i="75"/>
  <c r="K26" i="75" s="1"/>
  <c r="J19" i="75"/>
  <c r="I19" i="75"/>
  <c r="J9" i="75"/>
  <c r="I9" i="75"/>
  <c r="K9" i="75" s="1"/>
  <c r="J116" i="79"/>
  <c r="G116" i="79"/>
  <c r="D116" i="79"/>
  <c r="B116" i="79"/>
  <c r="K75" i="79"/>
  <c r="J75" i="79"/>
  <c r="H75" i="79"/>
  <c r="G75" i="79"/>
  <c r="E75" i="79"/>
  <c r="D75" i="79"/>
  <c r="B75" i="79"/>
  <c r="K57" i="79"/>
  <c r="J57" i="79"/>
  <c r="H57" i="79"/>
  <c r="G57" i="79"/>
  <c r="E57" i="79"/>
  <c r="D57" i="79"/>
  <c r="B57" i="79"/>
  <c r="K47" i="79"/>
  <c r="J47" i="79"/>
  <c r="H47" i="79"/>
  <c r="G47" i="79"/>
  <c r="E47" i="79"/>
  <c r="D47" i="79"/>
  <c r="B47" i="79"/>
  <c r="K33" i="79"/>
  <c r="J33" i="79"/>
  <c r="H33" i="79"/>
  <c r="G33" i="79"/>
  <c r="E33" i="79"/>
  <c r="D33" i="79"/>
  <c r="B33" i="79"/>
  <c r="K24" i="79"/>
  <c r="J24" i="79"/>
  <c r="H24" i="79"/>
  <c r="G24" i="79"/>
  <c r="E24" i="79"/>
  <c r="D24" i="79"/>
  <c r="B24" i="79"/>
  <c r="K17" i="79"/>
  <c r="J17" i="79"/>
  <c r="H17" i="79"/>
  <c r="G17" i="79"/>
  <c r="E17" i="79"/>
  <c r="D17" i="79"/>
  <c r="B17" i="79"/>
  <c r="K8" i="79"/>
  <c r="J8" i="79"/>
  <c r="H8" i="79"/>
  <c r="G8" i="79"/>
  <c r="E8" i="79"/>
  <c r="D8" i="79"/>
  <c r="B8" i="79"/>
  <c r="F17" i="79" l="1"/>
  <c r="L17" i="79"/>
  <c r="K19" i="75"/>
  <c r="L8" i="79"/>
  <c r="F47" i="79"/>
  <c r="I8" i="79"/>
  <c r="L75" i="79"/>
  <c r="L57" i="79"/>
  <c r="L33" i="79"/>
  <c r="L24" i="79"/>
  <c r="W17" i="79"/>
  <c r="F57" i="79"/>
  <c r="F8" i="79"/>
  <c r="V8" i="79"/>
  <c r="W8" i="79"/>
  <c r="I57" i="79"/>
  <c r="F75" i="79"/>
  <c r="I24" i="79"/>
  <c r="L47" i="79"/>
  <c r="I17" i="79"/>
  <c r="W24" i="79"/>
  <c r="F24" i="79"/>
  <c r="I47" i="79"/>
  <c r="V116" i="79"/>
  <c r="I75" i="79"/>
  <c r="W75" i="79"/>
  <c r="V57" i="79"/>
  <c r="W57" i="79"/>
  <c r="I33" i="79"/>
  <c r="W47" i="79"/>
  <c r="V47" i="79"/>
  <c r="F33" i="79"/>
  <c r="V33" i="79"/>
  <c r="W33" i="79"/>
  <c r="V75" i="79"/>
  <c r="V17" i="79"/>
  <c r="V24" i="79"/>
  <c r="I116" i="77"/>
  <c r="J75" i="77"/>
  <c r="I75" i="77"/>
  <c r="J57" i="77"/>
  <c r="I57" i="77"/>
  <c r="J47" i="77"/>
  <c r="I47" i="77"/>
  <c r="J33" i="77"/>
  <c r="I33" i="77"/>
  <c r="J24" i="77"/>
  <c r="I24" i="77"/>
  <c r="J17" i="77"/>
  <c r="I17" i="77"/>
  <c r="J8" i="77"/>
  <c r="I8" i="77"/>
  <c r="L5" i="76"/>
  <c r="L4" i="76"/>
  <c r="L16" i="76"/>
  <c r="L15" i="76"/>
  <c r="L14" i="76"/>
  <c r="L13" i="76"/>
  <c r="L12" i="76"/>
  <c r="L11" i="76"/>
  <c r="L10" i="76"/>
  <c r="L23" i="76"/>
  <c r="L22" i="76"/>
  <c r="L21" i="76"/>
  <c r="L50" i="76"/>
  <c r="L49" i="76"/>
  <c r="L48" i="76"/>
  <c r="L47" i="76"/>
  <c r="L46" i="76"/>
  <c r="L45" i="76"/>
  <c r="L44" i="76"/>
  <c r="L43" i="76"/>
  <c r="L42" i="76"/>
  <c r="L41" i="76"/>
  <c r="L40" i="76"/>
  <c r="L39" i="76"/>
  <c r="L38" i="76"/>
  <c r="L37" i="76"/>
  <c r="L36" i="76"/>
  <c r="L35" i="76"/>
  <c r="L34" i="76"/>
  <c r="L33" i="76"/>
  <c r="L32" i="76"/>
  <c r="L31" i="76"/>
  <c r="L30" i="76"/>
  <c r="L29" i="76"/>
  <c r="L28" i="76"/>
  <c r="L60" i="76"/>
  <c r="L59" i="76"/>
  <c r="L58" i="76"/>
  <c r="L57" i="76"/>
  <c r="L56" i="76"/>
  <c r="L55" i="76"/>
  <c r="L88" i="76"/>
  <c r="L87" i="76"/>
  <c r="L86" i="76"/>
  <c r="L85" i="76"/>
  <c r="L84" i="76"/>
  <c r="L83" i="76"/>
  <c r="L82" i="76"/>
  <c r="L81" i="76"/>
  <c r="L80" i="76"/>
  <c r="L79" i="76"/>
  <c r="L78" i="76"/>
  <c r="L77" i="76"/>
  <c r="L76" i="76"/>
  <c r="L75" i="76"/>
  <c r="L74" i="76"/>
  <c r="L73" i="76"/>
  <c r="L72" i="76"/>
  <c r="L71" i="76"/>
  <c r="L70" i="76"/>
  <c r="L69" i="76"/>
  <c r="L68" i="76"/>
  <c r="L67" i="76"/>
  <c r="L66" i="76"/>
  <c r="L65" i="76"/>
  <c r="L134" i="76"/>
  <c r="L133" i="76"/>
  <c r="L132" i="76"/>
  <c r="L131" i="76"/>
  <c r="L130" i="76"/>
  <c r="L129" i="76"/>
  <c r="L128" i="76"/>
  <c r="L127" i="76"/>
  <c r="L126" i="76"/>
  <c r="L125" i="76"/>
  <c r="L124" i="76"/>
  <c r="L123" i="76"/>
  <c r="L122" i="76"/>
  <c r="L121" i="76"/>
  <c r="L120" i="76"/>
  <c r="L119" i="76"/>
  <c r="L118" i="76"/>
  <c r="L117" i="76"/>
  <c r="L116" i="76"/>
  <c r="L115" i="76"/>
  <c r="L114" i="76"/>
  <c r="L113" i="76"/>
  <c r="L112" i="76"/>
  <c r="L111" i="76"/>
  <c r="L106" i="76"/>
  <c r="L105" i="76"/>
  <c r="L104" i="76"/>
  <c r="L103" i="76"/>
  <c r="L102" i="76"/>
  <c r="L101" i="76"/>
  <c r="L100" i="76"/>
  <c r="L99" i="76"/>
  <c r="L98" i="76"/>
  <c r="L97" i="76"/>
  <c r="L96" i="76"/>
  <c r="L95" i="76"/>
  <c r="L94" i="76"/>
  <c r="L93" i="76"/>
  <c r="I135" i="76"/>
  <c r="J107" i="76"/>
  <c r="I107" i="76"/>
  <c r="K107" i="76" s="1"/>
  <c r="J89" i="76"/>
  <c r="I89" i="76"/>
  <c r="J61" i="76"/>
  <c r="J62" i="76" s="1"/>
  <c r="I61" i="76"/>
  <c r="J51" i="76"/>
  <c r="I51" i="76"/>
  <c r="I24" i="76"/>
  <c r="J24" i="76" s="1"/>
  <c r="J17" i="76"/>
  <c r="I17" i="76"/>
  <c r="J6" i="76"/>
  <c r="K6" i="76" s="1"/>
  <c r="Z15" i="48"/>
  <c r="Z14" i="48"/>
  <c r="X13" i="48"/>
  <c r="V13" i="48"/>
  <c r="T13" i="48"/>
  <c r="R13" i="48"/>
  <c r="P13" i="48"/>
  <c r="N13" i="48"/>
  <c r="L13" i="48"/>
  <c r="J13" i="48"/>
  <c r="H13" i="48"/>
  <c r="F13" i="48"/>
  <c r="D13" i="48"/>
  <c r="B13" i="48"/>
  <c r="Z11" i="48"/>
  <c r="Z10" i="48"/>
  <c r="Z9" i="48"/>
  <c r="Z8" i="48"/>
  <c r="Z7" i="48"/>
  <c r="Z6" i="48"/>
  <c r="Z5" i="48"/>
  <c r="K33" i="77" l="1"/>
  <c r="K8" i="77"/>
  <c r="K24" i="77"/>
  <c r="K47" i="77"/>
  <c r="X17" i="79"/>
  <c r="X47" i="79"/>
  <c r="K61" i="76"/>
  <c r="K62" i="76" s="1"/>
  <c r="X75" i="79"/>
  <c r="X24" i="79"/>
  <c r="X8" i="79"/>
  <c r="X57" i="79"/>
  <c r="K89" i="76"/>
  <c r="K17" i="76"/>
  <c r="K75" i="77"/>
  <c r="K17" i="77"/>
  <c r="K57" i="77"/>
  <c r="X33" i="79"/>
  <c r="K51" i="76"/>
  <c r="K24" i="76"/>
  <c r="Z13" i="48"/>
  <c r="V9" i="75" l="1"/>
  <c r="U9" i="75"/>
  <c r="V50" i="75"/>
  <c r="U50" i="75"/>
  <c r="U63" i="75"/>
  <c r="U76" i="75"/>
  <c r="F135" i="75"/>
  <c r="G95" i="75"/>
  <c r="F95" i="75"/>
  <c r="G76" i="75"/>
  <c r="F76" i="75"/>
  <c r="G64" i="75"/>
  <c r="G63" i="75"/>
  <c r="F63" i="75"/>
  <c r="G50" i="75"/>
  <c r="F50" i="75"/>
  <c r="G26" i="75"/>
  <c r="F26" i="75"/>
  <c r="G19" i="75"/>
  <c r="F19" i="75"/>
  <c r="G9" i="75"/>
  <c r="F9" i="75"/>
  <c r="L135" i="76"/>
  <c r="M107" i="76"/>
  <c r="M89" i="76"/>
  <c r="L61" i="76"/>
  <c r="L51" i="76"/>
  <c r="M17" i="76"/>
  <c r="C135" i="76"/>
  <c r="D107" i="76"/>
  <c r="C107" i="76"/>
  <c r="D89" i="76"/>
  <c r="C89" i="76"/>
  <c r="D61" i="76"/>
  <c r="D62" i="76" s="1"/>
  <c r="C61" i="76"/>
  <c r="D51" i="76"/>
  <c r="C51" i="76"/>
  <c r="C24" i="76"/>
  <c r="D24" i="76" s="1"/>
  <c r="E24" i="76" s="1"/>
  <c r="D17" i="76"/>
  <c r="C17" i="76"/>
  <c r="D6" i="76"/>
  <c r="E6" i="76" s="1"/>
  <c r="C116" i="77"/>
  <c r="D75" i="77"/>
  <c r="C75" i="77"/>
  <c r="E75" i="77" s="1"/>
  <c r="D57" i="77"/>
  <c r="C57" i="77"/>
  <c r="D47" i="77"/>
  <c r="C47" i="77"/>
  <c r="D33" i="77"/>
  <c r="C33" i="77"/>
  <c r="D24" i="77"/>
  <c r="C24" i="77"/>
  <c r="E24" i="77" s="1"/>
  <c r="D17" i="77"/>
  <c r="C17" i="77"/>
  <c r="D8" i="77"/>
  <c r="C8" i="77"/>
  <c r="F116" i="77"/>
  <c r="G75" i="77"/>
  <c r="F75" i="77"/>
  <c r="G57" i="77"/>
  <c r="F57" i="77"/>
  <c r="G47" i="77"/>
  <c r="F47" i="77"/>
  <c r="G33" i="77"/>
  <c r="F33" i="77"/>
  <c r="G24" i="77"/>
  <c r="F24" i="77"/>
  <c r="U24" i="77"/>
  <c r="G17" i="77"/>
  <c r="F17" i="77"/>
  <c r="G8" i="77"/>
  <c r="F8" i="77"/>
  <c r="H8" i="77" s="1"/>
  <c r="F135" i="76"/>
  <c r="G107" i="76"/>
  <c r="F107" i="76"/>
  <c r="G89" i="76"/>
  <c r="F89" i="76"/>
  <c r="G61" i="76"/>
  <c r="G62" i="76" s="1"/>
  <c r="F61" i="76"/>
  <c r="M61" i="76"/>
  <c r="M62" i="76" s="1"/>
  <c r="G51" i="76"/>
  <c r="F51" i="76"/>
  <c r="F24" i="76"/>
  <c r="L24" i="76"/>
  <c r="G17" i="76"/>
  <c r="F17" i="76"/>
  <c r="M6" i="76"/>
  <c r="G6" i="76"/>
  <c r="H6" i="76" s="1"/>
  <c r="L6" i="76"/>
  <c r="C135" i="75"/>
  <c r="D95" i="75"/>
  <c r="C95" i="75"/>
  <c r="D76" i="75"/>
  <c r="C76" i="75"/>
  <c r="D63" i="75"/>
  <c r="D64" i="75" s="1"/>
  <c r="C63" i="75"/>
  <c r="E63" i="75" s="1"/>
  <c r="E64" i="75" s="1"/>
  <c r="V63" i="75"/>
  <c r="V64" i="75" s="1"/>
  <c r="D50" i="75"/>
  <c r="C50" i="75"/>
  <c r="D26" i="75"/>
  <c r="C26" i="75"/>
  <c r="V26" i="75"/>
  <c r="D19" i="75"/>
  <c r="C19" i="75"/>
  <c r="D9" i="75"/>
  <c r="C9" i="75"/>
  <c r="H50" i="75" l="1"/>
  <c r="H107" i="76"/>
  <c r="H17" i="76"/>
  <c r="H89" i="76"/>
  <c r="H26" i="75"/>
  <c r="H24" i="77"/>
  <c r="E61" i="76"/>
  <c r="E62" i="76" s="1"/>
  <c r="E107" i="76"/>
  <c r="E19" i="75"/>
  <c r="H76" i="75"/>
  <c r="E76" i="75"/>
  <c r="E26" i="75"/>
  <c r="E50" i="75"/>
  <c r="H9" i="75"/>
  <c r="E9" i="75"/>
  <c r="V76" i="75"/>
  <c r="W76" i="75" s="1"/>
  <c r="E17" i="76"/>
  <c r="N6" i="76"/>
  <c r="H61" i="76"/>
  <c r="H62" i="76" s="1"/>
  <c r="E89" i="76"/>
  <c r="E8" i="77"/>
  <c r="E33" i="77"/>
  <c r="E17" i="77"/>
  <c r="H75" i="77"/>
  <c r="H51" i="76"/>
  <c r="E51" i="76"/>
  <c r="N61" i="76"/>
  <c r="N62" i="76" s="1"/>
  <c r="E95" i="75"/>
  <c r="U135" i="75"/>
  <c r="H19" i="75"/>
  <c r="V19" i="75"/>
  <c r="U19" i="75"/>
  <c r="W50" i="75"/>
  <c r="H63" i="75"/>
  <c r="H64" i="75" s="1"/>
  <c r="H95" i="75"/>
  <c r="M51" i="76"/>
  <c r="N51" i="76" s="1"/>
  <c r="E47" i="77"/>
  <c r="E57" i="77"/>
  <c r="H57" i="77"/>
  <c r="H47" i="77"/>
  <c r="U47" i="77"/>
  <c r="H33" i="77"/>
  <c r="V24" i="77"/>
  <c r="W24" i="77" s="1"/>
  <c r="V47" i="77"/>
  <c r="V8" i="77"/>
  <c r="U116" i="77"/>
  <c r="V75" i="77"/>
  <c r="U57" i="77"/>
  <c r="V57" i="77"/>
  <c r="V33" i="77"/>
  <c r="U17" i="77"/>
  <c r="V17" i="77"/>
  <c r="H17" i="77"/>
  <c r="U8" i="77"/>
  <c r="U33" i="77"/>
  <c r="U75" i="77"/>
  <c r="L17" i="76"/>
  <c r="N17" i="76" s="1"/>
  <c r="G24" i="76"/>
  <c r="H24" i="76" s="1"/>
  <c r="L89" i="76"/>
  <c r="N89" i="76" s="1"/>
  <c r="L107" i="76"/>
  <c r="N107" i="76" s="1"/>
  <c r="M24" i="76"/>
  <c r="N24" i="76" s="1"/>
  <c r="W9" i="75"/>
  <c r="W63" i="75"/>
  <c r="W64" i="75" s="1"/>
  <c r="U26" i="75"/>
  <c r="W26" i="75" s="1"/>
  <c r="AI16" i="7"/>
  <c r="AJ16" i="7" s="1"/>
  <c r="AJ20" i="7" l="1"/>
  <c r="AK16" i="7"/>
  <c r="W8" i="77"/>
  <c r="AI20" i="7"/>
  <c r="W19" i="75"/>
  <c r="W75" i="77"/>
  <c r="W47" i="77"/>
  <c r="W33" i="77"/>
  <c r="W57" i="77"/>
  <c r="W17" i="77"/>
  <c r="V95" i="75"/>
  <c r="U95" i="75"/>
  <c r="AL16" i="7" l="1"/>
  <c r="AK20" i="7"/>
  <c r="W95" i="75"/>
  <c r="Z30" i="48"/>
  <c r="AH20" i="7"/>
  <c r="N20" i="7"/>
  <c r="M20" i="7"/>
  <c r="L20" i="7"/>
  <c r="K20" i="7"/>
  <c r="J20" i="7"/>
  <c r="I20" i="7"/>
  <c r="H20" i="7"/>
  <c r="G20" i="7"/>
  <c r="F20" i="7"/>
  <c r="E20" i="7"/>
  <c r="D20" i="7"/>
  <c r="C20" i="7"/>
  <c r="O16" i="7"/>
  <c r="O20" i="7" s="1"/>
  <c r="P16" i="7" l="1"/>
  <c r="Q16" i="7" s="1"/>
  <c r="R16" i="7" s="1"/>
  <c r="S16" i="7" s="1"/>
  <c r="T16" i="7" s="1"/>
  <c r="U16" i="7" s="1"/>
  <c r="U20" i="7" s="1"/>
  <c r="AM16" i="7"/>
  <c r="AL20" i="7"/>
  <c r="P20" i="7"/>
  <c r="R20" i="7" l="1"/>
  <c r="S20" i="7"/>
  <c r="Q20" i="7"/>
  <c r="T20" i="7"/>
  <c r="AM20" i="7"/>
  <c r="AN16" i="7"/>
  <c r="Z27" i="48"/>
  <c r="AN20" i="7" l="1"/>
  <c r="AO16" i="7"/>
  <c r="Z31" i="48"/>
  <c r="Z45" i="48"/>
  <c r="X29" i="48"/>
  <c r="V29" i="48"/>
  <c r="T29" i="48"/>
  <c r="R29" i="48"/>
  <c r="P29" i="48"/>
  <c r="N29" i="48"/>
  <c r="L29" i="48"/>
  <c r="J29" i="48"/>
  <c r="H29" i="48"/>
  <c r="F29" i="48"/>
  <c r="D29" i="48"/>
  <c r="B29" i="48"/>
  <c r="AP16" i="7" l="1"/>
  <c r="AP20" i="7" s="1"/>
  <c r="AO20" i="7"/>
  <c r="Z42" i="48"/>
  <c r="Z41" i="48"/>
  <c r="Z40" i="48"/>
  <c r="Z39" i="48"/>
  <c r="Z38" i="48"/>
  <c r="Z37" i="48"/>
  <c r="Z26" i="48"/>
  <c r="Z25" i="48"/>
  <c r="Z24" i="48"/>
  <c r="Z23" i="48"/>
  <c r="Z22" i="48"/>
  <c r="Z21" i="48"/>
  <c r="X44" i="48"/>
  <c r="V44" i="48"/>
  <c r="T44" i="48"/>
  <c r="R44" i="48"/>
  <c r="P44" i="48"/>
  <c r="N44" i="48"/>
  <c r="L44" i="48"/>
  <c r="J44" i="48"/>
  <c r="H44" i="48"/>
  <c r="F44" i="48"/>
  <c r="D44" i="48"/>
  <c r="B44" i="48"/>
  <c r="Z29" i="48" l="1"/>
  <c r="Z44" i="48"/>
  <c r="O17" i="7" l="1"/>
  <c r="O21" i="7" s="1"/>
  <c r="O15" i="7"/>
  <c r="P15" i="7" s="1"/>
  <c r="Q15" i="7" s="1"/>
  <c r="R15" i="7" s="1"/>
  <c r="R19" i="7" l="1"/>
  <c r="S15" i="7"/>
  <c r="P19" i="7"/>
  <c r="Q19" i="7"/>
  <c r="O19" i="7"/>
  <c r="P17" i="7"/>
  <c r="Q17" i="7" s="1"/>
  <c r="R17" i="7" s="1"/>
  <c r="O7" i="7"/>
  <c r="P7" i="7" s="1"/>
  <c r="O8" i="7"/>
  <c r="P8" i="7" s="1"/>
  <c r="O10" i="7"/>
  <c r="P10" i="7" s="1"/>
  <c r="Q10" i="7" s="1"/>
  <c r="R10" i="7" s="1"/>
  <c r="S10" i="7" s="1"/>
  <c r="T10" i="7" s="1"/>
  <c r="U10" i="7" s="1"/>
  <c r="V10" i="7" s="1"/>
  <c r="W10" i="7" s="1"/>
  <c r="X10" i="7" s="1"/>
  <c r="Y10" i="7" s="1"/>
  <c r="Z10" i="7" s="1"/>
  <c r="AA10" i="7" s="1"/>
  <c r="AB10" i="7" s="1"/>
  <c r="AC10" i="7" s="1"/>
  <c r="AD10" i="7" s="1"/>
  <c r="AE10" i="7" s="1"/>
  <c r="AF10" i="7" s="1"/>
  <c r="AG10" i="7" s="1"/>
  <c r="AH10" i="7" s="1"/>
  <c r="AI10" i="7" s="1"/>
  <c r="AJ10" i="7" s="1"/>
  <c r="AK10" i="7" s="1"/>
  <c r="AL10" i="7" s="1"/>
  <c r="AM10" i="7" s="1"/>
  <c r="AN10" i="7" s="1"/>
  <c r="AO10" i="7" s="1"/>
  <c r="AP10" i="7" s="1"/>
  <c r="O9" i="7"/>
  <c r="P9" i="7" s="1"/>
  <c r="Q9" i="7" s="1"/>
  <c r="R9" i="7" s="1"/>
  <c r="S9" i="7" s="1"/>
  <c r="T9" i="7" s="1"/>
  <c r="U9" i="7" s="1"/>
  <c r="V9" i="7" s="1"/>
  <c r="W9" i="7" s="1"/>
  <c r="X9" i="7" s="1"/>
  <c r="Y9" i="7" s="1"/>
  <c r="Z9" i="7" s="1"/>
  <c r="AA9" i="7" s="1"/>
  <c r="AB9" i="7" s="1"/>
  <c r="AC9" i="7" s="1"/>
  <c r="AD9" i="7" s="1"/>
  <c r="AE9" i="7" s="1"/>
  <c r="AF9" i="7" s="1"/>
  <c r="AG9" i="7" s="1"/>
  <c r="AH9" i="7" s="1"/>
  <c r="AI9" i="7" s="1"/>
  <c r="AJ9" i="7" s="1"/>
  <c r="AK9" i="7" s="1"/>
  <c r="AL9" i="7" s="1"/>
  <c r="AM9" i="7" s="1"/>
  <c r="AN9" i="7" s="1"/>
  <c r="AO9" i="7" s="1"/>
  <c r="AP9" i="7" s="1"/>
  <c r="O6" i="7"/>
  <c r="P6" i="7" s="1"/>
  <c r="O5" i="7"/>
  <c r="P5" i="7" s="1"/>
  <c r="Q5" i="7" s="1"/>
  <c r="R5" i="7" s="1"/>
  <c r="S5" i="7" s="1"/>
  <c r="T5" i="7" s="1"/>
  <c r="U5" i="7" s="1"/>
  <c r="V5" i="7" s="1"/>
  <c r="W5" i="7" s="1"/>
  <c r="X5" i="7" s="1"/>
  <c r="Y5" i="7" s="1"/>
  <c r="Z5" i="7" s="1"/>
  <c r="AA5" i="7" s="1"/>
  <c r="AB5" i="7" s="1"/>
  <c r="AC5" i="7" s="1"/>
  <c r="AD5" i="7" s="1"/>
  <c r="AE5" i="7" s="1"/>
  <c r="AF5" i="7" s="1"/>
  <c r="AG5" i="7" s="1"/>
  <c r="AH5" i="7" s="1"/>
  <c r="AI5" i="7" s="1"/>
  <c r="AJ5" i="7" s="1"/>
  <c r="AK5" i="7" s="1"/>
  <c r="AL5" i="7" s="1"/>
  <c r="AM5" i="7" s="1"/>
  <c r="AN5" i="7" s="1"/>
  <c r="AO5" i="7" s="1"/>
  <c r="AP5" i="7" s="1"/>
  <c r="S19" i="7" l="1"/>
  <c r="T15" i="7"/>
  <c r="R21" i="7"/>
  <c r="S17" i="7"/>
  <c r="Q7" i="7"/>
  <c r="Q8" i="7"/>
  <c r="Q6" i="7"/>
  <c r="P21" i="7"/>
  <c r="Q21" i="7"/>
  <c r="N19" i="7"/>
  <c r="N21" i="7"/>
  <c r="N4" i="7"/>
  <c r="T19" i="7" l="1"/>
  <c r="U15" i="7"/>
  <c r="S21" i="7"/>
  <c r="T17" i="7"/>
  <c r="R6" i="7"/>
  <c r="R8" i="7"/>
  <c r="R7" i="7"/>
  <c r="N12" i="7"/>
  <c r="O4" i="7"/>
  <c r="M21" i="7"/>
  <c r="M19" i="7"/>
  <c r="M4" i="7"/>
  <c r="M12" i="7" s="1"/>
  <c r="T21" i="7" l="1"/>
  <c r="U17" i="7"/>
  <c r="V15" i="7"/>
  <c r="U19" i="7"/>
  <c r="S7" i="7"/>
  <c r="T7" i="7" s="1"/>
  <c r="S8" i="7"/>
  <c r="T8" i="7" s="1"/>
  <c r="S6" i="7"/>
  <c r="T6" i="7" s="1"/>
  <c r="N13" i="7"/>
  <c r="N14" i="7"/>
  <c r="P4" i="7"/>
  <c r="O12" i="7"/>
  <c r="M14" i="7"/>
  <c r="L21" i="7"/>
  <c r="L19" i="7"/>
  <c r="L4" i="7"/>
  <c r="L12" i="7" s="1"/>
  <c r="V19" i="7" l="1"/>
  <c r="W15" i="7"/>
  <c r="U21" i="7"/>
  <c r="V17" i="7"/>
  <c r="U7" i="7"/>
  <c r="V7" i="7" s="1"/>
  <c r="W7" i="7" s="1"/>
  <c r="X7" i="7" s="1"/>
  <c r="U6" i="7"/>
  <c r="V6" i="7" s="1"/>
  <c r="W6" i="7" s="1"/>
  <c r="X6" i="7" s="1"/>
  <c r="U8" i="7"/>
  <c r="V8" i="7" s="1"/>
  <c r="W8" i="7" s="1"/>
  <c r="X8" i="7" s="1"/>
  <c r="Q4" i="7"/>
  <c r="R4" i="7" s="1"/>
  <c r="N18" i="7"/>
  <c r="O14" i="7"/>
  <c r="O18" i="7" s="1"/>
  <c r="O13" i="7"/>
  <c r="L14" i="7"/>
  <c r="M13" i="7"/>
  <c r="P12" i="7"/>
  <c r="X15" i="7" l="1"/>
  <c r="W19" i="7"/>
  <c r="V21" i="7"/>
  <c r="W17" i="7"/>
  <c r="X17" i="7" s="1"/>
  <c r="Y7" i="7"/>
  <c r="Z7" i="7" s="1"/>
  <c r="Y6" i="7"/>
  <c r="Z6" i="7" s="1"/>
  <c r="Y8" i="7"/>
  <c r="Z8" i="7" s="1"/>
  <c r="R12" i="7"/>
  <c r="S4" i="7"/>
  <c r="Q12" i="7"/>
  <c r="P13" i="7"/>
  <c r="M18" i="7"/>
  <c r="P14" i="7"/>
  <c r="K21" i="7"/>
  <c r="K19" i="7"/>
  <c r="K12" i="7"/>
  <c r="AA7" i="7" l="1"/>
  <c r="AB7" i="7" s="1"/>
  <c r="AA8" i="7"/>
  <c r="AB8" i="7" s="1"/>
  <c r="AA6" i="7"/>
  <c r="AB6" i="7" s="1"/>
  <c r="X19" i="7"/>
  <c r="Y15" i="7"/>
  <c r="W21" i="7"/>
  <c r="S12" i="7"/>
  <c r="T4" i="7"/>
  <c r="R14" i="7"/>
  <c r="R13" i="7"/>
  <c r="Q13" i="7"/>
  <c r="Q14" i="7"/>
  <c r="P18" i="7"/>
  <c r="L13" i="7"/>
  <c r="K14" i="7"/>
  <c r="J21" i="7"/>
  <c r="J19" i="7"/>
  <c r="J12" i="7"/>
  <c r="AC6" i="7" l="1"/>
  <c r="AD6" i="7" s="1"/>
  <c r="AC8" i="7"/>
  <c r="AD8" i="7" s="1"/>
  <c r="AC7" i="7"/>
  <c r="AD7" i="7" s="1"/>
  <c r="X21" i="7"/>
  <c r="Y17" i="7"/>
  <c r="Z15" i="7"/>
  <c r="Y19" i="7"/>
  <c r="T12" i="7"/>
  <c r="U4" i="7"/>
  <c r="S13" i="7"/>
  <c r="S14" i="7"/>
  <c r="S18" i="7" s="1"/>
  <c r="R18" i="7"/>
  <c r="Q18" i="7"/>
  <c r="L18" i="7"/>
  <c r="K13" i="7"/>
  <c r="J14" i="7"/>
  <c r="I21" i="7"/>
  <c r="I19" i="7"/>
  <c r="I12" i="7"/>
  <c r="I14" i="7" s="1"/>
  <c r="I18" i="7" s="1"/>
  <c r="AE7" i="7" l="1"/>
  <c r="AE8" i="7"/>
  <c r="AE6" i="7"/>
  <c r="Z19" i="7"/>
  <c r="AA15" i="7"/>
  <c r="Z17" i="7"/>
  <c r="Y21" i="7"/>
  <c r="T14" i="7"/>
  <c r="T18" i="7" s="1"/>
  <c r="T13" i="7"/>
  <c r="V4" i="7"/>
  <c r="U12" i="7"/>
  <c r="K18" i="7"/>
  <c r="J13" i="7"/>
  <c r="J18" i="7"/>
  <c r="H21" i="7"/>
  <c r="H19" i="7"/>
  <c r="H18" i="7"/>
  <c r="H12" i="7"/>
  <c r="AF6" i="7" l="1"/>
  <c r="AG6" i="7" s="1"/>
  <c r="AH6" i="7" s="1"/>
  <c r="AF8" i="7"/>
  <c r="AG8" i="7" s="1"/>
  <c r="AH8" i="7" s="1"/>
  <c r="AF7" i="7"/>
  <c r="AG7" i="7" s="1"/>
  <c r="AH7" i="7" s="1"/>
  <c r="AA19" i="7"/>
  <c r="AB15" i="7"/>
  <c r="Z21" i="7"/>
  <c r="AA17" i="7"/>
  <c r="V12" i="7"/>
  <c r="V13" i="7" s="1"/>
  <c r="W4" i="7"/>
  <c r="U14" i="7"/>
  <c r="U18" i="7" s="1"/>
  <c r="U13" i="7"/>
  <c r="I13" i="7"/>
  <c r="AI7" i="7" l="1"/>
  <c r="AJ7" i="7" s="1"/>
  <c r="AK7" i="7" s="1"/>
  <c r="AL7" i="7" s="1"/>
  <c r="AM7" i="7" s="1"/>
  <c r="AN7" i="7" s="1"/>
  <c r="AO7" i="7" s="1"/>
  <c r="AP7" i="7" s="1"/>
  <c r="AI8" i="7"/>
  <c r="AJ8" i="7" s="1"/>
  <c r="AK8" i="7" s="1"/>
  <c r="AL8" i="7" s="1"/>
  <c r="AM8" i="7" s="1"/>
  <c r="AN8" i="7" s="1"/>
  <c r="AO8" i="7" s="1"/>
  <c r="AP8" i="7" s="1"/>
  <c r="AI6" i="7"/>
  <c r="AJ6" i="7" s="1"/>
  <c r="AK6" i="7" s="1"/>
  <c r="AL6" i="7" s="1"/>
  <c r="AM6" i="7" s="1"/>
  <c r="AN6" i="7" s="1"/>
  <c r="AO6" i="7" s="1"/>
  <c r="AP6" i="7" s="1"/>
  <c r="AB19" i="7"/>
  <c r="AC15" i="7"/>
  <c r="AB17" i="7"/>
  <c r="AA21" i="7"/>
  <c r="V14" i="7"/>
  <c r="V18" i="7" s="1"/>
  <c r="X4" i="7"/>
  <c r="W12" i="7"/>
  <c r="W14" i="7" s="1"/>
  <c r="G21" i="7"/>
  <c r="G19" i="7"/>
  <c r="G18" i="7"/>
  <c r="G12" i="7"/>
  <c r="AB21" i="7" l="1"/>
  <c r="AC17" i="7"/>
  <c r="AD15" i="7"/>
  <c r="AC19" i="7"/>
  <c r="W18" i="7"/>
  <c r="W13" i="7"/>
  <c r="Y4" i="7"/>
  <c r="X12" i="7"/>
  <c r="H13" i="7"/>
  <c r="F21" i="7"/>
  <c r="E21" i="7"/>
  <c r="D21" i="7"/>
  <c r="C21" i="7"/>
  <c r="F19" i="7"/>
  <c r="E19" i="7"/>
  <c r="D19" i="7"/>
  <c r="C19" i="7"/>
  <c r="F18" i="7"/>
  <c r="E18" i="7"/>
  <c r="C18" i="7"/>
  <c r="D18" i="7"/>
  <c r="AD19" i="7" l="1"/>
  <c r="AE15" i="7"/>
  <c r="AD17" i="7"/>
  <c r="AC21" i="7"/>
  <c r="X14" i="7"/>
  <c r="X18" i="7" s="1"/>
  <c r="X13" i="7"/>
  <c r="Z4" i="7"/>
  <c r="Y12" i="7"/>
  <c r="C13" i="7"/>
  <c r="C12" i="7"/>
  <c r="E12" i="7"/>
  <c r="D12" i="7"/>
  <c r="F12" i="7"/>
  <c r="AD21" i="7" l="1"/>
  <c r="AE17" i="7"/>
  <c r="AF15" i="7"/>
  <c r="AE19" i="7"/>
  <c r="Z12" i="7"/>
  <c r="Z13" i="7" s="1"/>
  <c r="AA4" i="7"/>
  <c r="Y13" i="7"/>
  <c r="Y14" i="7"/>
  <c r="Y18" i="7" s="1"/>
  <c r="D13" i="7"/>
  <c r="E13" i="7"/>
  <c r="F13" i="7"/>
  <c r="G13" i="7"/>
  <c r="Z14" i="7" l="1"/>
  <c r="Z18" i="7" s="1"/>
  <c r="AF19" i="7"/>
  <c r="AG15" i="7"/>
  <c r="AE21" i="7"/>
  <c r="AF17" i="7"/>
  <c r="AB4" i="7"/>
  <c r="AA12" i="7"/>
  <c r="AA14" i="7" s="1"/>
  <c r="AA18" i="7" s="1"/>
  <c r="AG19" i="7" l="1"/>
  <c r="AH15" i="7"/>
  <c r="AF21" i="7"/>
  <c r="AG17" i="7"/>
  <c r="AH17" i="7" s="1"/>
  <c r="AI17" i="7" s="1"/>
  <c r="AB12" i="7"/>
  <c r="AB14" i="7" s="1"/>
  <c r="AC4" i="7"/>
  <c r="AD4" i="7" s="1"/>
  <c r="AA13" i="7"/>
  <c r="AJ17" i="7" l="1"/>
  <c r="AI21" i="7"/>
  <c r="AI15" i="7"/>
  <c r="AH19" i="7"/>
  <c r="AG21" i="7"/>
  <c r="AH21" i="7"/>
  <c r="AB13" i="7"/>
  <c r="AE4" i="7"/>
  <c r="AD12" i="7"/>
  <c r="AC12" i="7"/>
  <c r="AC14" i="7" s="1"/>
  <c r="AC18" i="7" s="1"/>
  <c r="AB18" i="7"/>
  <c r="AJ21" i="7" l="1"/>
  <c r="AK17" i="7"/>
  <c r="AJ15" i="7"/>
  <c r="AI19" i="7"/>
  <c r="AF4" i="7"/>
  <c r="AE12" i="7"/>
  <c r="AE14" i="7" s="1"/>
  <c r="AC13" i="7"/>
  <c r="AD14" i="7"/>
  <c r="AD13" i="7"/>
  <c r="AJ19" i="7" l="1"/>
  <c r="AK15" i="7"/>
  <c r="AL17" i="7"/>
  <c r="AK21" i="7"/>
  <c r="AF12" i="7"/>
  <c r="AF14" i="7" s="1"/>
  <c r="AG4" i="7"/>
  <c r="AE13" i="7"/>
  <c r="AD18" i="7"/>
  <c r="AE18" i="7"/>
  <c r="AM17" i="7" l="1"/>
  <c r="AL21" i="7"/>
  <c r="AL15" i="7"/>
  <c r="AK19" i="7"/>
  <c r="AG12" i="7"/>
  <c r="AG13" i="7" s="1"/>
  <c r="AH4" i="7"/>
  <c r="AF13" i="7"/>
  <c r="AF18" i="7"/>
  <c r="AG14" i="7" l="1"/>
  <c r="AG18" i="7" s="1"/>
  <c r="AM15" i="7"/>
  <c r="AL19" i="7"/>
  <c r="AM21" i="7"/>
  <c r="AN17" i="7"/>
  <c r="AI4" i="7"/>
  <c r="AH12" i="7"/>
  <c r="AN21" i="7" l="1"/>
  <c r="AO17" i="7"/>
  <c r="AM19" i="7"/>
  <c r="AN15" i="7"/>
  <c r="AH14" i="7"/>
  <c r="AH18" i="7" s="1"/>
  <c r="AH13" i="7"/>
  <c r="AJ4" i="7"/>
  <c r="AI12" i="7"/>
  <c r="AN19" i="7" l="1"/>
  <c r="AO15" i="7"/>
  <c r="AP17" i="7"/>
  <c r="AP21" i="7" s="1"/>
  <c r="AO21" i="7"/>
  <c r="AJ12" i="7"/>
  <c r="AJ14" i="7" s="1"/>
  <c r="AK4" i="7"/>
  <c r="AI14" i="7"/>
  <c r="AI18" i="7" s="1"/>
  <c r="AI13" i="7"/>
  <c r="AJ13" i="7"/>
  <c r="AP15" i="7" l="1"/>
  <c r="AP19" i="7" s="1"/>
  <c r="AO19" i="7"/>
  <c r="AL4" i="7"/>
  <c r="AK12" i="7"/>
  <c r="AK14" i="7" s="1"/>
  <c r="AK18" i="7" s="1"/>
  <c r="AK13" i="7"/>
  <c r="AJ18" i="7"/>
  <c r="AM4" i="7" l="1"/>
  <c r="AL12" i="7"/>
  <c r="AL13" i="7" l="1"/>
  <c r="AL14" i="7"/>
  <c r="AL18" i="7" s="1"/>
  <c r="AN4" i="7"/>
  <c r="AM12" i="7"/>
  <c r="AN12" i="7" l="1"/>
  <c r="AN14" i="7" s="1"/>
  <c r="AO4" i="7"/>
  <c r="AP4" i="7" s="1"/>
  <c r="AN13" i="7"/>
  <c r="AM13" i="7"/>
  <c r="AM14" i="7"/>
  <c r="AM18" i="7" s="1"/>
  <c r="AP12" i="7" l="1"/>
  <c r="AO12" i="7"/>
  <c r="AN18" i="7"/>
  <c r="AO14" i="7" l="1"/>
  <c r="AO18" i="7" s="1"/>
  <c r="AO13" i="7"/>
  <c r="AP13" i="7"/>
  <c r="AP14" i="7"/>
  <c r="AP18" i="7" s="1"/>
</calcChain>
</file>

<file path=xl/sharedStrings.xml><?xml version="1.0" encoding="utf-8"?>
<sst xmlns="http://schemas.openxmlformats.org/spreadsheetml/2006/main" count="2090" uniqueCount="256">
  <si>
    <t>Meting</t>
  </si>
  <si>
    <t>Centric</t>
  </si>
  <si>
    <t>PinkRoccade</t>
  </si>
  <si>
    <t>Procura</t>
  </si>
  <si>
    <t>T&amp;T</t>
  </si>
  <si>
    <t>Toelichting</t>
  </si>
  <si>
    <t>Leverancier/Partij</t>
  </si>
  <si>
    <t>GemBoxx</t>
  </si>
  <si>
    <t>02-05-2014
R14</t>
  </si>
  <si>
    <t>bhg_bvgGeefDetailsPersoon</t>
  </si>
  <si>
    <t>bhg_vbaRegistreerVerhuizing</t>
  </si>
  <si>
    <t>bhg_afsRegistreerGeboorte</t>
  </si>
  <si>
    <t>bhg_hgpRegistreerHuwelijkGeregistreerdPartnerschap</t>
  </si>
  <si>
    <t>bhg_ovlRegistreerOverlijden</t>
  </si>
  <si>
    <t>bhg_bvgBepaalKandidaatVader</t>
  </si>
  <si>
    <t>lvg_afnRegistreerAfnemerindicatie</t>
  </si>
  <si>
    <t>lvg_synVerwerkMutatiePersoon</t>
  </si>
  <si>
    <t>Operatie BRP</t>
  </si>
  <si>
    <t>01-06-2014
R14</t>
  </si>
  <si>
    <t>01-07-2014
R14</t>
  </si>
  <si>
    <t>Totaal Leveringen</t>
  </si>
  <si>
    <t>Totaal Bijhouding&amp;Bevraging</t>
  </si>
  <si>
    <t>Groei Bijhouding&amp;Bevraging</t>
  </si>
  <si>
    <t>Groei Levering</t>
  </si>
  <si>
    <t>Totaal Bijhoudingen</t>
  </si>
  <si>
    <t>01-04-2014
R14</t>
  </si>
  <si>
    <t>Groei Bijhouding</t>
  </si>
  <si>
    <t>Soort bericht</t>
  </si>
  <si>
    <t>zendende systeem</t>
  </si>
  <si>
    <t>bhg_bvgGeefPersonenOpAdresMetBetrokkenheden</t>
  </si>
  <si>
    <t>PROWEB personen</t>
  </si>
  <si>
    <t>bhg_rsdRegistreerReisdocument</t>
  </si>
  <si>
    <t>BRP</t>
  </si>
  <si>
    <t>Gemboxx</t>
  </si>
  <si>
    <t>01-08-2014
R14</t>
  </si>
  <si>
    <t>ontvangende partij</t>
  </si>
  <si>
    <t>29-08-2014
R14</t>
  </si>
  <si>
    <t>T&amp;T Test systeem</t>
  </si>
  <si>
    <t>30-09-2014
R14</t>
  </si>
  <si>
    <t>bhg_nmgRegistreerNaamGeslacht</t>
  </si>
  <si>
    <t>31-10-2014
R14</t>
  </si>
  <si>
    <t>Opmerkingen:</t>
  </si>
  <si>
    <t>bhg_afsActualiseerAfstamming</t>
  </si>
  <si>
    <t>bhg_natRegistreerNationaliteit</t>
  </si>
  <si>
    <t>30-11-2014
R14</t>
  </si>
  <si>
    <t>31-12-2014
R14</t>
  </si>
  <si>
    <t>Meting R&amp;L</t>
  </si>
  <si>
    <t>31-01-2015
R14&amp;R16</t>
  </si>
  <si>
    <t>lvg_synGeefSynchronisatiePersoon</t>
  </si>
  <si>
    <t>lvg_bvgGeefDetailsPersoon</t>
  </si>
  <si>
    <t>lvg_synGeefSynchronisatieStamgegeven</t>
  </si>
  <si>
    <t>SYNC</t>
  </si>
  <si>
    <t>Bestaande GBA-leveranciers leggen focus op aansluiting nieuwe BZM-functionaliteit op eigen GBA-systeem</t>
  </si>
  <si>
    <t>Totaal</t>
  </si>
  <si>
    <t>28-02-2015
R14&amp;R16</t>
  </si>
  <si>
    <t>31-03-2015
R14&amp;R16</t>
  </si>
  <si>
    <t>TT Test systeem</t>
  </si>
  <si>
    <t>30-04-2015
R14&amp;R16</t>
  </si>
  <si>
    <t>Totaal Bevragingen cs.</t>
  </si>
  <si>
    <t>Groei Bevraging cs.</t>
  </si>
  <si>
    <t>bhg_afsRegistreerErkenning</t>
  </si>
  <si>
    <t>TenT Test systeem</t>
  </si>
  <si>
    <t>bhg_dvmRegistreerMededelingVerzoek</t>
  </si>
  <si>
    <t>31-05-2015
R14&amp;R16</t>
  </si>
  <si>
    <t>30-06-2015
R14&amp;R16</t>
  </si>
  <si>
    <t>31-07-2015
R16</t>
  </si>
  <si>
    <t>bhg_vbaCorrigeerAdres</t>
  </si>
  <si>
    <t>bhg_nmgRegistreerNationaliteit</t>
  </si>
  <si>
    <t>bhg_rsdRegistreerKiesrecht</t>
  </si>
  <si>
    <t>31-08-2015
R16&amp;R17</t>
  </si>
  <si>
    <t>30-09-2015
R16&amp;R17</t>
  </si>
  <si>
    <t>iBZ</t>
  </si>
  <si>
    <t>pinkro</t>
  </si>
  <si>
    <t>PRLGPZ</t>
  </si>
  <si>
    <t>31-10-2015
R17</t>
  </si>
  <si>
    <t>30-11-2015
R17/R18</t>
  </si>
  <si>
    <t>bhg_afsRegistreerAdoptie</t>
  </si>
  <si>
    <t>Exxellence</t>
  </si>
  <si>
    <t>31-12-2015
R17/R18</t>
  </si>
  <si>
    <t>Onder totaal en groei Bevraging cs. vallen ook de berichten m.b.t. Plaatsen/verwijderen afnemerinidicaties en Synchronisatieverzoeken</t>
  </si>
  <si>
    <t>31-01-2016
R17/R18</t>
  </si>
  <si>
    <t>bhg_afsRegsitreerAdoptie</t>
  </si>
  <si>
    <t>oBRP</t>
  </si>
  <si>
    <t>Mutatielevering</t>
  </si>
  <si>
    <t>Bevr</t>
  </si>
  <si>
    <t>Bijh</t>
  </si>
  <si>
    <t>Januari</t>
  </si>
  <si>
    <t>Februari</t>
  </si>
  <si>
    <t>Maart</t>
  </si>
  <si>
    <t>April</t>
  </si>
  <si>
    <t>Mei</t>
  </si>
  <si>
    <t>Juni</t>
  </si>
  <si>
    <t>Juli</t>
  </si>
  <si>
    <t>Augustus</t>
  </si>
  <si>
    <t>September</t>
  </si>
  <si>
    <t>Oktober</t>
  </si>
  <si>
    <t>November</t>
  </si>
  <si>
    <t>December</t>
  </si>
  <si>
    <t>Maand</t>
  </si>
  <si>
    <t>Ranking leveranciers per maand in 2015</t>
  </si>
  <si>
    <t>Ranking leveranciers per maand in 2016</t>
  </si>
  <si>
    <t>PS. Leverancier OpenGBA gaat voortaan als Exxellence door het oBRP-leven!</t>
  </si>
  <si>
    <t>29-02-2016
R18</t>
  </si>
  <si>
    <t>Aantal</t>
  </si>
  <si>
    <t>Pos.</t>
  </si>
  <si>
    <t>Totaal 
berichten</t>
  </si>
  <si>
    <t>Totaal
berichten</t>
  </si>
  <si>
    <t>Leverancier</t>
  </si>
  <si>
    <t>Leveringen oBRP</t>
  </si>
  <si>
    <t>-</t>
  </si>
  <si>
    <t>31-03-2016
R18</t>
  </si>
  <si>
    <t>GemeenteDHG/Nijmegen</t>
  </si>
  <si>
    <t>BZM Leverancier A</t>
  </si>
  <si>
    <t>lvg_bvgGeefSynchronisatiePersoon</t>
  </si>
  <si>
    <t>BZM Leverancier B</t>
  </si>
  <si>
    <t>30-04-2016
R18&amp;R19</t>
  </si>
  <si>
    <t>GemBoxx/'s-Gravenhage</t>
  </si>
  <si>
    <t>GemBoxx/Utrecht</t>
  </si>
  <si>
    <t>TenT Test systeem/Gemeente Nijmegen</t>
  </si>
  <si>
    <t>31-05-2016
R18&amp;R19</t>
  </si>
  <si>
    <t>30-06-2016
R18&amp;R19</t>
  </si>
  <si>
    <t>Centric/Gemeente Rotterdam</t>
  </si>
  <si>
    <t>Gemboxx/Gemeente Utrecht</t>
  </si>
  <si>
    <t>Key2Burgerzaken/Gemeente Rotterdam</t>
  </si>
  <si>
    <t>T&amp;T Test/Gemeente Nijmegen</t>
  </si>
  <si>
    <t>T&amp;T Testsysteem/Gemeente Nijmegen</t>
  </si>
  <si>
    <r>
      <t>·</t>
    </r>
    <r>
      <rPr>
        <sz val="7"/>
        <color theme="1"/>
        <rFont val="Times New Roman"/>
        <family val="1"/>
      </rPr>
      <t xml:space="preserve">        </t>
    </r>
    <r>
      <rPr>
        <sz val="11"/>
        <color theme="1"/>
        <rFont val="Calibri"/>
        <family val="2"/>
        <scheme val="minor"/>
      </rPr>
      <t>Geef details persoon:   150</t>
    </r>
  </si>
  <si>
    <r>
      <t>·</t>
    </r>
    <r>
      <rPr>
        <sz val="7"/>
        <color theme="1"/>
        <rFont val="Times New Roman"/>
        <family val="1"/>
      </rPr>
      <t xml:space="preserve">        </t>
    </r>
    <r>
      <rPr>
        <sz val="11"/>
        <color theme="1"/>
        <rFont val="Calibri"/>
        <family val="2"/>
        <scheme val="minor"/>
      </rPr>
      <t>Plaatsen/verwijderen afnemerindicaties: 250</t>
    </r>
  </si>
  <si>
    <r>
      <t>·</t>
    </r>
    <r>
      <rPr>
        <sz val="7"/>
        <color theme="1"/>
        <rFont val="Times New Roman"/>
        <family val="1"/>
      </rPr>
      <t xml:space="preserve">        </t>
    </r>
    <r>
      <rPr>
        <sz val="11"/>
        <color theme="1"/>
        <rFont val="Calibri"/>
        <family val="2"/>
        <scheme val="minor"/>
      </rPr>
      <t>Geef synchronisatie persoon: 100</t>
    </r>
  </si>
  <si>
    <t xml:space="preserve">Afspraak T&amp;T over correctie igv 'stapelaar-tests': </t>
  </si>
  <si>
    <t>GemeenteDHG</t>
  </si>
  <si>
    <t>BRP/Gemeente Nijmegen</t>
  </si>
  <si>
    <t xml:space="preserve">BRP </t>
  </si>
  <si>
    <t xml:space="preserve">BZM Leverancier A/Gemeente 's-Gravenhage </t>
  </si>
  <si>
    <t>BZM Leverancier A/Gemeente 's-Gravenhage</t>
  </si>
  <si>
    <t>BZM Leverancier A/Gemeente Nijmegen</t>
  </si>
  <si>
    <t>AfnemerDHG/Gemeente 's-Gravenhage</t>
  </si>
  <si>
    <t>AfnemerDHG/Gemeente Nijmegen</t>
  </si>
  <si>
    <t>BZM Leverancier B/Gemeente 's-Gravenhage</t>
  </si>
  <si>
    <t>BZM Leverancier B/Gemeente Nijmegen</t>
  </si>
  <si>
    <t>BZM Leveranciers A/Gemeente Nijmegen</t>
  </si>
  <si>
    <t>BZM Leveranciers A</t>
  </si>
  <si>
    <t>GemeenteDHG/Gemeente 's-Gravenhage</t>
  </si>
  <si>
    <t>31-07-2016
R19</t>
  </si>
  <si>
    <t>31-08-2016
R19</t>
  </si>
  <si>
    <t>145 (0141 - Almelo)</t>
  </si>
  <si>
    <t>367 (0363 - Amsterdam)</t>
  </si>
  <si>
    <t>204 (0200 - Apeldoorn)</t>
  </si>
  <si>
    <t>110 (0106 - Assen)</t>
  </si>
  <si>
    <t>761 (0757 - Boxtel)</t>
  </si>
  <si>
    <t>762 (0758 - Breda)</t>
  </si>
  <si>
    <t>404 (0400 - Den Helder)</t>
  </si>
  <si>
    <t>509 (0505 - Dordrecht)</t>
  </si>
  <si>
    <t>232 (0228 - Ede)</t>
  </si>
  <si>
    <t>776 (0772 - Eindhoven)</t>
  </si>
  <si>
    <t>18 (0014 - Groningen)</t>
  </si>
  <si>
    <t>396 (0392 - Haarlem)</t>
  </si>
  <si>
    <t>398 (0394 - Haarlemmermeer)</t>
  </si>
  <si>
    <t>84 (0080 - Leeuwarden)</t>
  </si>
  <si>
    <t>999 (0995 - Lelystad)</t>
  </si>
  <si>
    <t>939 (0935 - Maastricht)</t>
  </si>
  <si>
    <t>272 (0268 - Nijmegen)</t>
  </si>
  <si>
    <t>603 (0599 - Rotterdam)</t>
  </si>
  <si>
    <t>348 (0344 - Utrecht)</t>
  </si>
  <si>
    <t>365 (361 - Alkmaar)</t>
  </si>
  <si>
    <t>722 (0718 - Vlissingen)</t>
  </si>
  <si>
    <t>636 (0632 - Woerden)</t>
  </si>
  <si>
    <t>359 (0355 - Zeist)</t>
  </si>
  <si>
    <t>Zendende systeem</t>
  </si>
  <si>
    <t>bhg_vbaRegistreerOverlijden</t>
  </si>
  <si>
    <t>oBRP Den Haag</t>
  </si>
  <si>
    <t>xxx- (2366 - GGD Gooi en Vechtstreek)</t>
  </si>
  <si>
    <t>xxx- (2858 - Waarborgfonds)</t>
  </si>
  <si>
    <t>BRP/oBRP/AfnemerDHG-&lt;Afnemer&gt;/etc</t>
  </si>
  <si>
    <t>Centric/Key2B-Gemeente Rotterdam/etc</t>
  </si>
  <si>
    <t>oBRp Den Haag/Gemeente Nijmegen</t>
  </si>
  <si>
    <t>30-09-2016
R19</t>
  </si>
  <si>
    <t>bhg_sysVerwerkBijhoudingsplan</t>
  </si>
  <si>
    <t>GemBoxx/Gemeente Utrecht</t>
  </si>
  <si>
    <t>GemBoxx/Gemeente Boxtel</t>
  </si>
  <si>
    <t>iBZ/Gemeente Groningen</t>
  </si>
  <si>
    <t>lvg_bvgZoekPersoon</t>
  </si>
  <si>
    <t>T&amp;T Test systeem (Nijm, GGD, etc)</t>
  </si>
  <si>
    <t>T&amp;T Test systeem/Nijmegen</t>
  </si>
  <si>
    <t>lvg_ZoekPersoon</t>
  </si>
  <si>
    <t>TT Test systeem/Nijmegen</t>
  </si>
  <si>
    <t>BRP (diverse)</t>
  </si>
  <si>
    <t xml:space="preserve">Afspraak PRLG over correctie 'regressietests': </t>
  </si>
  <si>
    <r>
      <t>·</t>
    </r>
    <r>
      <rPr>
        <sz val="7"/>
        <color theme="1"/>
        <rFont val="Times New Roman"/>
        <family val="1"/>
      </rPr>
      <t xml:space="preserve">        </t>
    </r>
    <r>
      <rPr>
        <sz val="11"/>
        <color theme="1"/>
        <rFont val="Calibri"/>
        <family val="2"/>
        <scheme val="minor"/>
      </rPr>
      <t>50% van aantallen</t>
    </r>
  </si>
  <si>
    <t>GemBoxx/Boxtel</t>
  </si>
  <si>
    <t>bhg_hgpRegistreerHuwelijkgeregistreerdPartnerschap</t>
  </si>
  <si>
    <t>Totaal Bijhoudingsnotificaties</t>
  </si>
  <si>
    <t>Groei Bijhoudingsnotificaties</t>
  </si>
  <si>
    <t>Bijh.notificaties</t>
  </si>
  <si>
    <t>31-10-2016
R20/R19</t>
  </si>
  <si>
    <t>Leveranciers ontwikkelen/testen binnen koppelvlak Bijhouding nu 3 verschillende Administratieve handelingen.</t>
  </si>
  <si>
    <t>In tellingen nieuwe rij opgenomen voor nieuwe functionaliteit rondom Bijhoudingsnotificaties</t>
  </si>
  <si>
    <t>iBZ/Gemeente Ede</t>
  </si>
  <si>
    <t>iBZ/Gemeente Rotterdam</t>
  </si>
  <si>
    <t>T&amp;T Test systeem/Vektis</t>
  </si>
  <si>
    <t>T&amp;T Test systeem/Zwitserleven</t>
  </si>
  <si>
    <t>T&amp;T Test systeem/Vektis/etc</t>
  </si>
  <si>
    <t>522 (0518 - 's Gravenhage)</t>
  </si>
  <si>
    <t>GemBoxx(/Utrecht/etc)</t>
  </si>
  <si>
    <t>30-11-2016
R20/R19/R20</t>
  </si>
  <si>
    <t>31-12-2016
R20/R19/R20</t>
  </si>
  <si>
    <t>iBZ/Gemeente Haarlemmermeer</t>
  </si>
  <si>
    <t>xxx- (5712 - Vektis)</t>
  </si>
  <si>
    <t>T&amp;T Test systeem/GGD Gooi-Vechtstreek</t>
  </si>
  <si>
    <t>31-01-2017
R20/R19/R20</t>
  </si>
  <si>
    <t>Ranking leveranciers per maand in 2017</t>
  </si>
  <si>
    <t>Groei Jan2017</t>
  </si>
  <si>
    <t>Groei Feb2017</t>
  </si>
  <si>
    <t>Groei Mrt2017</t>
  </si>
  <si>
    <t>Totaal 2016</t>
  </si>
  <si>
    <t>Som 2017</t>
  </si>
  <si>
    <t>Groei 
Jan 2017</t>
  </si>
  <si>
    <t>Groei 
Feb 2017</t>
  </si>
  <si>
    <t>Groei 
Mrt 2017</t>
  </si>
  <si>
    <t>28-02-2017
R21/R20/R20/R19</t>
  </si>
  <si>
    <t>Meting Re+Tr+Tst+Li</t>
  </si>
  <si>
    <t>Meting Re+Li+Tr</t>
  </si>
  <si>
    <t>Meting Re+Li</t>
  </si>
  <si>
    <t>Meting Re+Li+Tst</t>
  </si>
  <si>
    <t>Ten behoeve van test installatie nieuwe releases en beoordelen bevindingen.</t>
  </si>
  <si>
    <t>31-03-2017
R21/R20/R19</t>
  </si>
  <si>
    <t>30-04-2017
R21/R20/R19</t>
  </si>
  <si>
    <t xml:space="preserve">Aangesloten op ProeftuinTribune met Representatieve Testset en Tribune-versie BRP  (R20 - Emma). Ondersteunt 'Zoek persoon', 'Geef details persoon', nieuwe bijhouding HGP en ontvangst van de bijhoudingsnotificatie. 
NB. Vanwege het 's nachts uitvoeren van automatische regressietests met leverancier afspraken gemaakt over verrekening naar reële telling.   </t>
  </si>
  <si>
    <t>Groei Apr2017</t>
  </si>
  <si>
    <t>Groei Mei2017</t>
  </si>
  <si>
    <t>Groei Juni2017</t>
  </si>
  <si>
    <t>Groei 
Apr 2017</t>
  </si>
  <si>
    <t>Groei 
Mei 2017</t>
  </si>
  <si>
    <t>Groei 
Juni 2017</t>
  </si>
  <si>
    <t>…</t>
  </si>
  <si>
    <t>lvg_bvgGeefMedebewoners</t>
  </si>
  <si>
    <t>Meting Re+Tr+Li</t>
  </si>
  <si>
    <t>Door de BRP worden met R21 binnen koppelvlak Bijhoudingen nu 11 Administratieve handelingen HGP ondersteund; gebruik voor toekomstige oplevering.</t>
  </si>
  <si>
    <t>Door de BRP worden met R21 binnen het koppelvlak Levering nu 14 Diensten in de keten ondersteund; bestaande uit 4 Bevraging- en 10 Synchronisatiediensten; gebruik voor toekomstige oplevering.</t>
  </si>
  <si>
    <t>Leveranciers ontwikkelen/testen binnen koppelvlak Levering 8 verschillende Diensten en 3 Bevragingen. Aan verwerking mutatie- en volledigberichten wordt gewerkt.</t>
  </si>
  <si>
    <t>Door de BRP worden met R19 binnen koppelvlak Bijhoudingen nu 39 Administratieve handelingen en 3 bevragingen in de keten ondersteund; bevroren versie, gebruik voor demo-doeleinden.</t>
  </si>
  <si>
    <t>Door de BRP worden met R19 binnen het koppelvlak Levering nu 9 Diensten in de keten ondersteund; bestaande uit 1 Bevraging- en 8 Synchronisatiediensten; bevroren versie, gebruik voor demo-doeleinden.</t>
  </si>
  <si>
    <r>
      <t xml:space="preserve">Let wel; de nu door </t>
    </r>
    <r>
      <rPr>
        <b/>
        <sz val="11"/>
        <color theme="1"/>
        <rFont val="Calibri"/>
        <family val="2"/>
        <scheme val="minor"/>
      </rPr>
      <t>Leveranciers</t>
    </r>
    <r>
      <rPr>
        <sz val="11"/>
        <color theme="1"/>
        <rFont val="Calibri"/>
        <family val="2"/>
        <scheme val="minor"/>
      </rPr>
      <t xml:space="preserve"> ondersteunde Administratieve handelingen en Diensten zijn nog </t>
    </r>
    <r>
      <rPr>
        <b/>
        <sz val="11"/>
        <color theme="1"/>
        <rFont val="Calibri"/>
        <family val="2"/>
        <scheme val="minor"/>
      </rPr>
      <t>niet</t>
    </r>
    <r>
      <rPr>
        <sz val="11"/>
        <color theme="1"/>
        <rFont val="Calibri"/>
        <family val="2"/>
        <scheme val="minor"/>
      </rPr>
      <t xml:space="preserve"> 100% gereed; verdieping en verbreding van functionaliteit aan leverancierzijde volgt.  </t>
    </r>
  </si>
  <si>
    <t>lvg_ZoekPersoonOpAdresgegevens</t>
  </si>
  <si>
    <t>T&amp;T Test systeem/Vektis/Nijmegen/…</t>
  </si>
  <si>
    <t>1401 (1397 - Landerd)</t>
  </si>
  <si>
    <t>31-05-2017
R22/R21/R20/R19</t>
  </si>
  <si>
    <t>Meting Tu+Re+Tr+Li</t>
  </si>
  <si>
    <t>Sinds mei 2015 geen activiteit meer op proeftuin-omgeving.</t>
  </si>
  <si>
    <t>30-06-2017
R22/R21/R20/R19</t>
  </si>
  <si>
    <t xml:space="preserve">Afspraak Procura&amp;Centric over 'leegtrekken': </t>
  </si>
  <si>
    <r>
      <t>·</t>
    </r>
    <r>
      <rPr>
        <sz val="7"/>
        <color theme="1"/>
        <rFont val="Times New Roman"/>
        <family val="1"/>
      </rPr>
      <t xml:space="preserve">        </t>
    </r>
    <r>
      <rPr>
        <sz val="11"/>
        <color theme="1"/>
        <rFont val="Calibri"/>
        <family val="2"/>
        <scheme val="minor"/>
      </rPr>
      <t>Niet opnemen in tellingen</t>
    </r>
  </si>
  <si>
    <t>Aangesloten op ProeftuinTribune met Representatieve Testset en Tribune-versie BRP  (R20 - Emma). Ondersteunt 'Zoek persoon', 'Geef details persoon' en nieuwe bijhouding HGP. Aansluittest ProeftuinRechts (R21 - Frederique) uitgevoerd. 
NB. Via een eenmalige actie van ontwikkelaars is de BRP-database massaal leeg gelezen met 129.500 bevragingen; dit aantal is in overleg met leverancier niet in telling opgenomen.</t>
  </si>
  <si>
    <t>Ondersteunt op de ProeftuinLinks-omgeving met bevroren versie BRP (R19 - Bernadette) diensten Bevraging (4) en Bijhoudingen (35; verdeeld over alle modules). Van het koppelvlak Levering wordt de dienst 'Plaatsing afnemerindicatie' ondersteund. 
Aangesloten op ProeftuinTribune met Representatieve Testset en Tribune-versie BRP  (R20 - Emma). Ondersteunt hier 'Geef details persoon' en nieuwe HGP-bijhoudingen.
Intaketest op ProeftuinRechts (R21 - Frederique) en ProeftuinTussen (R22 - Guus) met representatieve testset versie 2 uitgevoerd; hierop nog niet overgestapt.</t>
  </si>
  <si>
    <t>Aangesloten op de ProeftuinTussen-omgeving. Ondersteunt Zoek persoon en Geef details persoon.  
NB. Via een eenmalige actie van ontwikkelaars is de BRP-database massaal leeg gelezen met ca. 196.000 ZoekPersoon-verzoeken en 3.500 GeefDetails-verzoeken; dit aantal is in overleg met leverancier niet in telling opgenomen.</t>
  </si>
  <si>
    <t xml:space="preserve">Aangesloten op ProeftuinTussen met Representatieve Testset versie 2 en BRP-versie R22 (Guus). Ondersteunt diensten Bevraging (3) en van Synchronisatie de diensten Plaatsing/Verwijdering afnemerindicatie, Synchronisatie Persoon en Synchronisatie Stamgegeven. Ondersteunt ook de ontvangst en verwerking van mutatie- en volledigberichten. 
NB. Om op batchachtige wijze gebruik te maken van de diensten Geef details persoon, Plaatsen/Verwijderen afnemerindicatie en Geef synchronisatie persoon is door T&amp;T een zogenaamde ‘stapelaar’ ontwikkeld. Tijdens het testen van deze stapelaar worden soms duizenden berichten aangeboden. Deze aantallen worden in overleg met de leverancier niet in de telling meegenomen; in plaats hiervan wordt in voorkomende gevallen gerekend met een samen overeengekomen aantal per dienst.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</si>
</sst>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b/>
      <sz val="11"/>
      <color theme="1"/>
      <name val="Calibri"/>
      <family val="2"/>
      <scheme val="minor"/>
    </font>
    <font>
      <sz val="10.5"/>
      <color rgb="FF000000"/>
      <name val="Calibri"/>
      <family val="2"/>
    </font>
    <font>
      <sz val="10.5"/>
      <color rgb="FF000000"/>
      <name val="Calibri"/>
      <family val="2"/>
      <scheme val="minor"/>
    </font>
    <font>
      <sz val="9"/>
      <color rgb="FF000000"/>
      <name val="Calibri"/>
      <family val="2"/>
      <scheme val="minor"/>
    </font>
    <font>
      <sz val="10"/>
      <color rgb="FF000000"/>
      <name val="Tahoma"/>
      <family val="2"/>
    </font>
    <font>
      <sz val="10"/>
      <color theme="1"/>
      <name val="Calibri"/>
      <family val="2"/>
      <scheme val="minor"/>
    </font>
    <font>
      <b/>
      <sz val="10"/>
      <color theme="1"/>
      <name val="Calibri"/>
      <family val="2"/>
      <scheme val="minor"/>
    </font>
    <font>
      <b/>
      <i/>
      <sz val="10.5"/>
      <color rgb="FF000000"/>
      <name val="Calibri"/>
      <family val="2"/>
    </font>
    <font>
      <sz val="11"/>
      <color rgb="FF1F497D"/>
      <name val="Calibri"/>
      <family val="2"/>
      <scheme val="minor"/>
    </font>
    <font>
      <b/>
      <sz val="14"/>
      <color theme="1"/>
      <name val="Calibri"/>
      <family val="2"/>
      <scheme val="minor"/>
    </font>
    <font>
      <b/>
      <sz val="11"/>
      <color rgb="FF1F497D"/>
      <name val="Calibri"/>
      <family val="2"/>
    </font>
    <font>
      <sz val="11"/>
      <color rgb="FF1F497D"/>
      <name val="Calibri"/>
      <family val="2"/>
    </font>
    <font>
      <i/>
      <sz val="11"/>
      <color rgb="FFFF0000"/>
      <name val="Calibri"/>
      <family val="2"/>
    </font>
    <font>
      <b/>
      <sz val="12"/>
      <color theme="1"/>
      <name val="Calibri"/>
      <family val="2"/>
      <scheme val="minor"/>
    </font>
    <font>
      <sz val="8"/>
      <color theme="1"/>
      <name val="Calibri"/>
      <family val="2"/>
      <scheme val="minor"/>
    </font>
    <font>
      <sz val="9"/>
      <color rgb="FFFF0000"/>
      <name val="Calibri"/>
      <family val="2"/>
      <scheme val="minor"/>
    </font>
    <font>
      <sz val="11"/>
      <color theme="1"/>
      <name val="Symbol"/>
      <family val="1"/>
      <charset val="2"/>
    </font>
    <font>
      <sz val="7"/>
      <color theme="1"/>
      <name val="Times New Roman"/>
      <family val="1"/>
    </font>
    <font>
      <sz val="11"/>
      <color rgb="FF000000"/>
      <name val="Calibri"/>
      <family val="2"/>
      <scheme val="minor"/>
    </font>
    <font>
      <b/>
      <sz val="11"/>
      <color rgb="FF000000"/>
      <name val="Calibri"/>
      <family val="2"/>
      <scheme val="minor"/>
    </font>
  </fonts>
  <fills count="16">
    <fill>
      <patternFill patternType="none"/>
    </fill>
    <fill>
      <patternFill patternType="gray125"/>
    </fill>
    <fill>
      <patternFill patternType="solid">
        <fgColor theme="3" tint="0.59999389629810485"/>
        <bgColor indexed="64"/>
      </patternFill>
    </fill>
    <fill>
      <patternFill patternType="solid">
        <fgColor rgb="FFFF99FF"/>
        <bgColor indexed="64"/>
      </patternFill>
    </fill>
    <fill>
      <patternFill patternType="solid">
        <fgColor theme="0" tint="-0.249977111117893"/>
        <bgColor indexed="64"/>
      </patternFill>
    </fill>
    <fill>
      <patternFill patternType="solid">
        <fgColor theme="8" tint="0.79998168889431442"/>
        <bgColor indexed="64"/>
      </patternFill>
    </fill>
    <fill>
      <patternFill patternType="solid">
        <fgColor rgb="FFFFC000"/>
        <bgColor indexed="64"/>
      </patternFill>
    </fill>
    <fill>
      <patternFill patternType="solid">
        <fgColor theme="0"/>
        <bgColor indexed="64"/>
      </patternFill>
    </fill>
    <fill>
      <patternFill patternType="solid">
        <fgColor rgb="FF92D050"/>
        <bgColor indexed="64"/>
      </patternFill>
    </fill>
    <fill>
      <patternFill patternType="solid">
        <fgColor theme="3" tint="0.79998168889431442"/>
        <bgColor indexed="64"/>
      </patternFill>
    </fill>
    <fill>
      <patternFill patternType="solid">
        <fgColor theme="7" tint="0.39994506668294322"/>
        <bgColor indexed="64"/>
      </patternFill>
    </fill>
    <fill>
      <patternFill patternType="solid">
        <fgColor theme="0" tint="-0.14999847407452621"/>
        <bgColor indexed="64"/>
      </patternFill>
    </fill>
    <fill>
      <patternFill patternType="solid">
        <fgColor rgb="FFFFCCFF"/>
        <bgColor indexed="64"/>
      </patternFill>
    </fill>
    <fill>
      <patternFill patternType="solid">
        <fgColor theme="4" tint="0.59999389629810485"/>
        <bgColor indexed="64"/>
      </patternFill>
    </fill>
    <fill>
      <patternFill patternType="solid">
        <fgColor theme="4" tint="0.59996337778862885"/>
        <bgColor indexed="64"/>
      </patternFill>
    </fill>
    <fill>
      <patternFill patternType="solid">
        <fgColor theme="9" tint="0.59999389629810485"/>
        <bgColor indexed="64"/>
      </patternFill>
    </fill>
  </fills>
  <borders count="74">
    <border>
      <left/>
      <right/>
      <top/>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thin">
        <color auto="1"/>
      </right>
      <top style="medium">
        <color auto="1"/>
      </top>
      <bottom/>
      <diagonal/>
    </border>
    <border>
      <left style="thin">
        <color auto="1"/>
      </left>
      <right style="thin">
        <color auto="1"/>
      </right>
      <top/>
      <bottom style="thin">
        <color auto="1"/>
      </bottom>
      <diagonal/>
    </border>
    <border>
      <left style="medium">
        <color auto="1"/>
      </left>
      <right/>
      <top style="medium">
        <color auto="1"/>
      </top>
      <bottom/>
      <diagonal/>
    </border>
    <border>
      <left/>
      <right style="thin">
        <color auto="1"/>
      </right>
      <top style="medium">
        <color auto="1"/>
      </top>
      <bottom/>
      <diagonal/>
    </border>
    <border>
      <left style="thin">
        <color auto="1"/>
      </left>
      <right style="medium">
        <color auto="1"/>
      </right>
      <top/>
      <bottom style="thin">
        <color auto="1"/>
      </bottom>
      <diagonal/>
    </border>
    <border>
      <left style="thin">
        <color auto="1"/>
      </left>
      <right style="medium">
        <color auto="1"/>
      </right>
      <top style="medium">
        <color auto="1"/>
      </top>
      <bottom/>
      <diagonal/>
    </border>
    <border>
      <left style="medium">
        <color auto="1"/>
      </left>
      <right/>
      <top/>
      <bottom style="thin">
        <color auto="1"/>
      </bottom>
      <diagonal/>
    </border>
    <border>
      <left/>
      <right style="thin">
        <color auto="1"/>
      </right>
      <top/>
      <bottom style="thin">
        <color auto="1"/>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thin">
        <color rgb="FF000000"/>
      </left>
      <right style="thin">
        <color rgb="FF000000"/>
      </right>
      <top style="thin">
        <color rgb="FF000000"/>
      </top>
      <bottom style="thin">
        <color rgb="FF000000"/>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top style="medium">
        <color auto="1"/>
      </top>
      <bottom style="medium">
        <color auto="1"/>
      </bottom>
      <diagonal/>
    </border>
    <border>
      <left/>
      <right/>
      <top style="thin">
        <color auto="1"/>
      </top>
      <bottom style="thin">
        <color auto="1"/>
      </bottom>
      <diagonal/>
    </border>
    <border>
      <left style="thin">
        <color auto="1"/>
      </left>
      <right/>
      <top style="medium">
        <color auto="1"/>
      </top>
      <bottom style="thin">
        <color auto="1"/>
      </bottom>
      <diagonal/>
    </border>
    <border>
      <left style="thin">
        <color auto="1"/>
      </left>
      <right/>
      <top style="thin">
        <color auto="1"/>
      </top>
      <bottom style="thin">
        <color auto="1"/>
      </bottom>
      <diagonal/>
    </border>
    <border>
      <left style="thin">
        <color auto="1"/>
      </left>
      <right/>
      <top style="thin">
        <color auto="1"/>
      </top>
      <bottom style="medium">
        <color auto="1"/>
      </bottom>
      <diagonal/>
    </border>
    <border>
      <left style="thin">
        <color auto="1"/>
      </left>
      <right/>
      <top style="medium">
        <color auto="1"/>
      </top>
      <bottom/>
      <diagonal/>
    </border>
    <border>
      <left style="thin">
        <color auto="1"/>
      </left>
      <right/>
      <top/>
      <bottom style="thin">
        <color auto="1"/>
      </bottom>
      <diagonal/>
    </border>
    <border>
      <left style="thin">
        <color auto="1"/>
      </left>
      <right/>
      <top style="thin">
        <color auto="1"/>
      </top>
      <bottom/>
      <diagonal/>
    </border>
    <border>
      <left style="medium">
        <color auto="1"/>
      </left>
      <right style="medium">
        <color auto="1"/>
      </right>
      <top style="thin">
        <color auto="1"/>
      </top>
      <bottom style="thin">
        <color auto="1"/>
      </bottom>
      <diagonal/>
    </border>
    <border>
      <left/>
      <right style="medium">
        <color auto="1"/>
      </right>
      <top style="medium">
        <color auto="1"/>
      </top>
      <bottom/>
      <diagonal/>
    </border>
    <border>
      <left/>
      <right/>
      <top style="medium">
        <color auto="1"/>
      </top>
      <bottom/>
      <diagonal/>
    </border>
    <border>
      <left/>
      <right style="thin">
        <color rgb="FF000000"/>
      </right>
      <top style="thin">
        <color rgb="FF000000"/>
      </top>
      <bottom style="thin">
        <color rgb="FF000000"/>
      </bottom>
      <diagonal/>
    </border>
    <border>
      <left/>
      <right/>
      <top style="medium">
        <color auto="1"/>
      </top>
      <bottom style="thin">
        <color auto="1"/>
      </bottom>
      <diagonal/>
    </border>
    <border>
      <left/>
      <right/>
      <top style="thin">
        <color auto="1"/>
      </top>
      <bottom style="medium">
        <color auto="1"/>
      </bottom>
      <diagonal/>
    </border>
    <border>
      <left/>
      <right/>
      <top style="thin">
        <color auto="1"/>
      </top>
      <bottom/>
      <diagonal/>
    </border>
    <border>
      <left/>
      <right style="medium">
        <color auto="1"/>
      </right>
      <top style="thin">
        <color auto="1"/>
      </top>
      <bottom style="medium">
        <color auto="1"/>
      </bottom>
      <diagonal/>
    </border>
    <border>
      <left style="thin">
        <color rgb="FF000000"/>
      </left>
      <right/>
      <top style="thin">
        <color rgb="FF000000"/>
      </top>
      <bottom style="thin">
        <color rgb="FF000000"/>
      </bottom>
      <diagonal/>
    </border>
    <border>
      <left style="thin">
        <color rgb="FF000000"/>
      </left>
      <right style="thin">
        <color rgb="FF000000"/>
      </right>
      <top/>
      <bottom style="thin">
        <color rgb="FF000000"/>
      </bottom>
      <diagonal/>
    </border>
    <border>
      <left style="medium">
        <color auto="1"/>
      </left>
      <right style="medium">
        <color auto="1"/>
      </right>
      <top style="medium">
        <color auto="1"/>
      </top>
      <bottom style="medium">
        <color auto="1"/>
      </bottom>
      <diagonal/>
    </border>
    <border>
      <left style="medium">
        <color auto="1"/>
      </left>
      <right/>
      <top/>
      <bottom style="medium">
        <color auto="1"/>
      </bottom>
      <diagonal/>
    </border>
    <border>
      <left/>
      <right/>
      <top/>
      <bottom style="medium">
        <color auto="1"/>
      </bottom>
      <diagonal/>
    </border>
    <border>
      <left style="medium">
        <color auto="1"/>
      </left>
      <right style="medium">
        <color auto="1"/>
      </right>
      <top style="medium">
        <color auto="1"/>
      </top>
      <bottom style="thin">
        <color auto="1"/>
      </bottom>
      <diagonal/>
    </border>
    <border>
      <left style="medium">
        <color auto="1"/>
      </left>
      <right/>
      <top style="medium">
        <color auto="1"/>
      </top>
      <bottom style="thin">
        <color auto="1"/>
      </bottom>
      <diagonal/>
    </border>
    <border>
      <left style="medium">
        <color auto="1"/>
      </left>
      <right/>
      <top style="thin">
        <color auto="1"/>
      </top>
      <bottom style="thin">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right style="medium">
        <color auto="1"/>
      </right>
      <top/>
      <bottom style="medium">
        <color auto="1"/>
      </bottom>
      <diagonal/>
    </border>
    <border>
      <left style="medium">
        <color auto="1"/>
      </left>
      <right style="medium">
        <color auto="1"/>
      </right>
      <top/>
      <bottom style="medium">
        <color auto="1"/>
      </bottom>
      <diagonal/>
    </border>
    <border>
      <left style="medium">
        <color auto="1"/>
      </left>
      <right style="medium">
        <color auto="1"/>
      </right>
      <top/>
      <bottom/>
      <diagonal/>
    </border>
    <border>
      <left style="medium">
        <color auto="1"/>
      </left>
      <right style="medium">
        <color auto="1"/>
      </right>
      <top/>
      <bottom style="thin">
        <color auto="1"/>
      </bottom>
      <diagonal/>
    </border>
    <border>
      <left style="medium">
        <color auto="1"/>
      </left>
      <right style="medium">
        <color auto="1"/>
      </right>
      <top style="thin">
        <color auto="1"/>
      </top>
      <bottom style="medium">
        <color auto="1"/>
      </bottom>
      <diagonal/>
    </border>
    <border>
      <left/>
      <right/>
      <top style="medium">
        <color auto="1"/>
      </top>
      <bottom style="medium">
        <color auto="1"/>
      </bottom>
      <diagonal/>
    </border>
    <border>
      <left style="medium">
        <color auto="1"/>
      </left>
      <right/>
      <top style="thin">
        <color auto="1"/>
      </top>
      <bottom style="medium">
        <color auto="1"/>
      </bottom>
      <diagonal/>
    </border>
    <border>
      <left style="medium">
        <color auto="1"/>
      </left>
      <right style="medium">
        <color auto="1"/>
      </right>
      <top style="thin">
        <color auto="1"/>
      </top>
      <bottom/>
      <diagonal/>
    </border>
    <border>
      <left/>
      <right style="medium">
        <color auto="1"/>
      </right>
      <top style="thin">
        <color auto="1"/>
      </top>
      <bottom style="thin">
        <color auto="1"/>
      </bottom>
      <diagonal/>
    </border>
    <border>
      <left style="medium">
        <color auto="1"/>
      </left>
      <right style="thin">
        <color auto="1"/>
      </right>
      <top/>
      <bottom style="thin">
        <color auto="1"/>
      </bottom>
      <diagonal/>
    </border>
    <border>
      <left style="medium">
        <color rgb="FF000000"/>
      </left>
      <right style="medium">
        <color rgb="FF000000"/>
      </right>
      <top style="medium">
        <color rgb="FF000000"/>
      </top>
      <bottom style="medium">
        <color rgb="FF000000"/>
      </bottom>
      <diagonal/>
    </border>
    <border>
      <left style="thin">
        <color rgb="FF000000"/>
      </left>
      <right style="thin">
        <color rgb="FF000000"/>
      </right>
      <top style="thin">
        <color rgb="FF000000"/>
      </top>
      <bottom/>
      <diagonal/>
    </border>
    <border>
      <left style="thin">
        <color auto="1"/>
      </left>
      <right style="thin">
        <color rgb="FF000000"/>
      </right>
      <top/>
      <bottom style="thin">
        <color rgb="FF000000"/>
      </bottom>
      <diagonal/>
    </border>
    <border>
      <left style="medium">
        <color auto="1"/>
      </left>
      <right style="medium">
        <color auto="1"/>
      </right>
      <top/>
      <bottom style="medium">
        <color rgb="FF000000"/>
      </bottom>
      <diagonal/>
    </border>
    <border>
      <left style="thin">
        <color rgb="FF000000"/>
      </left>
      <right style="thin">
        <color rgb="FF000000"/>
      </right>
      <top/>
      <bottom/>
      <diagonal/>
    </border>
    <border>
      <left/>
      <right/>
      <top style="thin">
        <color rgb="FF000000"/>
      </top>
      <bottom style="thin">
        <color rgb="FF000000"/>
      </bottom>
      <diagonal/>
    </border>
    <border>
      <left/>
      <right style="medium">
        <color auto="1"/>
      </right>
      <top style="medium">
        <color auto="1"/>
      </top>
      <bottom style="thin">
        <color auto="1"/>
      </bottom>
      <diagonal/>
    </border>
    <border>
      <left style="medium">
        <color auto="1"/>
      </left>
      <right/>
      <top/>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s>
  <cellStyleXfs count="1">
    <xf numFmtId="0" fontId="0" fillId="0" borderId="0"/>
  </cellStyleXfs>
  <cellXfs count="284">
    <xf numFmtId="0" fontId="0" fillId="0" borderId="0" xfId="0"/>
    <xf numFmtId="0" fontId="0" fillId="0" borderId="0" xfId="0" applyAlignment="1">
      <alignment horizontal="center"/>
    </xf>
    <xf numFmtId="0" fontId="0" fillId="0" borderId="0" xfId="0" applyAlignment="1">
      <alignment horizontal="left"/>
    </xf>
    <xf numFmtId="0" fontId="1" fillId="2" borderId="9" xfId="0" applyFont="1" applyFill="1" applyBorder="1" applyAlignment="1">
      <alignment horizontal="left"/>
    </xf>
    <xf numFmtId="0" fontId="1" fillId="2" borderId="12" xfId="0" applyFont="1" applyFill="1" applyBorder="1" applyAlignment="1">
      <alignment horizontal="left"/>
    </xf>
    <xf numFmtId="0" fontId="1" fillId="3" borderId="7" xfId="0" applyFont="1" applyFill="1" applyBorder="1" applyAlignment="1">
      <alignment horizontal="center"/>
    </xf>
    <xf numFmtId="0" fontId="2" fillId="0" borderId="0" xfId="0" applyFont="1" applyAlignment="1">
      <alignment vertical="center"/>
    </xf>
    <xf numFmtId="0" fontId="0" fillId="0" borderId="0" xfId="0" applyAlignment="1">
      <alignment vertical="top" wrapText="1"/>
    </xf>
    <xf numFmtId="0" fontId="3" fillId="0" borderId="0" xfId="0" applyFont="1" applyAlignment="1">
      <alignment vertical="center"/>
    </xf>
    <xf numFmtId="0" fontId="1" fillId="4" borderId="15" xfId="0" applyFont="1" applyFill="1" applyBorder="1" applyAlignment="1">
      <alignment horizontal="left" vertical="top"/>
    </xf>
    <xf numFmtId="0" fontId="0" fillId="4" borderId="16" xfId="0" applyFill="1" applyBorder="1" applyAlignment="1">
      <alignment vertical="top"/>
    </xf>
    <xf numFmtId="3" fontId="1" fillId="4" borderId="16" xfId="0" applyNumberFormat="1" applyFont="1" applyFill="1" applyBorder="1" applyAlignment="1">
      <alignment horizontal="center" vertical="top"/>
    </xf>
    <xf numFmtId="0" fontId="1" fillId="5" borderId="5" xfId="0" applyFont="1" applyFill="1" applyBorder="1" applyAlignment="1">
      <alignment vertical="top" wrapText="1"/>
    </xf>
    <xf numFmtId="0" fontId="1" fillId="5" borderId="5" xfId="0" applyFont="1" applyFill="1" applyBorder="1" applyAlignment="1">
      <alignment horizontal="center" vertical="top" wrapText="1"/>
    </xf>
    <xf numFmtId="3" fontId="0" fillId="0" borderId="0" xfId="0" applyNumberFormat="1"/>
    <xf numFmtId="0" fontId="2" fillId="0" borderId="0" xfId="0" applyFont="1" applyBorder="1" applyAlignment="1">
      <alignment vertical="center"/>
    </xf>
    <xf numFmtId="3" fontId="4" fillId="0" borderId="0" xfId="0" applyNumberFormat="1" applyFont="1" applyBorder="1" applyAlignment="1">
      <alignment horizontal="center" vertical="center" wrapText="1"/>
    </xf>
    <xf numFmtId="0" fontId="4" fillId="0" borderId="0" xfId="0" applyFont="1" applyBorder="1" applyAlignment="1">
      <alignment horizontal="center" vertical="center" wrapText="1"/>
    </xf>
    <xf numFmtId="0" fontId="5" fillId="0" borderId="0" xfId="0" applyFont="1"/>
    <xf numFmtId="0" fontId="0" fillId="0" borderId="0" xfId="0" applyAlignment="1">
      <alignment vertical="top"/>
    </xf>
    <xf numFmtId="14" fontId="1" fillId="3" borderId="8" xfId="0" applyNumberFormat="1" applyFont="1" applyFill="1" applyBorder="1" applyAlignment="1">
      <alignment horizontal="center" vertical="top" wrapText="1"/>
    </xf>
    <xf numFmtId="0" fontId="1" fillId="2" borderId="10" xfId="0" applyFont="1" applyFill="1" applyBorder="1" applyAlignment="1">
      <alignment wrapText="1"/>
    </xf>
    <xf numFmtId="0" fontId="0" fillId="2" borderId="14" xfId="0" applyFill="1" applyBorder="1" applyAlignment="1">
      <alignment horizontal="right" vertical="top"/>
    </xf>
    <xf numFmtId="0" fontId="1" fillId="6" borderId="15" xfId="0" applyFont="1" applyFill="1" applyBorder="1" applyAlignment="1">
      <alignment horizontal="left" vertical="top"/>
    </xf>
    <xf numFmtId="0" fontId="0" fillId="6" borderId="16" xfId="0" applyFill="1" applyBorder="1" applyAlignment="1">
      <alignment vertical="top"/>
    </xf>
    <xf numFmtId="3" fontId="1" fillId="6" borderId="16" xfId="0" applyNumberFormat="1" applyFont="1" applyFill="1" applyBorder="1" applyAlignment="1">
      <alignment horizontal="center" vertical="top"/>
    </xf>
    <xf numFmtId="0" fontId="0" fillId="0" borderId="0" xfId="0" applyAlignment="1">
      <alignment vertical="center"/>
    </xf>
    <xf numFmtId="0" fontId="1" fillId="5" borderId="4" xfId="0" applyFont="1" applyFill="1" applyBorder="1" applyAlignment="1">
      <alignment horizontal="center" vertical="top" wrapText="1"/>
    </xf>
    <xf numFmtId="0" fontId="0" fillId="0" borderId="1" xfId="0" applyBorder="1" applyAlignment="1">
      <alignment horizontal="left" vertical="top" wrapText="1"/>
    </xf>
    <xf numFmtId="0" fontId="0" fillId="0" borderId="2" xfId="0" applyBorder="1" applyAlignment="1">
      <alignment vertical="top" wrapText="1"/>
    </xf>
    <xf numFmtId="0" fontId="0" fillId="0" borderId="2" xfId="0" applyBorder="1" applyAlignment="1">
      <alignment horizontal="center" vertical="top" wrapText="1"/>
    </xf>
    <xf numFmtId="0" fontId="0" fillId="0" borderId="3" xfId="0" applyBorder="1" applyAlignment="1">
      <alignment vertical="top" wrapText="1"/>
    </xf>
    <xf numFmtId="0" fontId="1" fillId="7" borderId="1" xfId="0" applyFont="1" applyFill="1" applyBorder="1" applyAlignment="1">
      <alignment horizontal="center" vertical="top" wrapText="1"/>
    </xf>
    <xf numFmtId="3" fontId="0" fillId="0" borderId="2" xfId="0" applyNumberFormat="1" applyBorder="1" applyAlignment="1">
      <alignment horizontal="center" vertical="top" wrapText="1"/>
    </xf>
    <xf numFmtId="0" fontId="0" fillId="0" borderId="1" xfId="0" applyBorder="1" applyAlignment="1">
      <alignment horizontal="center" vertical="top" wrapText="1"/>
    </xf>
    <xf numFmtId="14" fontId="1" fillId="0" borderId="2" xfId="0" applyNumberFormat="1" applyFont="1" applyBorder="1" applyAlignment="1">
      <alignment horizontal="center" vertical="top" wrapText="1"/>
    </xf>
    <xf numFmtId="0" fontId="1" fillId="5" borderId="1" xfId="0" applyFont="1" applyFill="1" applyBorder="1" applyAlignment="1">
      <alignment horizontal="center" vertical="top" wrapText="1"/>
    </xf>
    <xf numFmtId="0" fontId="1" fillId="5" borderId="2" xfId="0" applyFont="1" applyFill="1" applyBorder="1" applyAlignment="1">
      <alignment vertical="top" wrapText="1"/>
    </xf>
    <xf numFmtId="0" fontId="1" fillId="5" borderId="2" xfId="0" applyFont="1" applyFill="1" applyBorder="1" applyAlignment="1">
      <alignment horizontal="center" vertical="top" wrapText="1"/>
    </xf>
    <xf numFmtId="0" fontId="6" fillId="0" borderId="18" xfId="0" applyFont="1" applyBorder="1" applyAlignment="1">
      <alignment vertical="center"/>
    </xf>
    <xf numFmtId="0" fontId="6" fillId="0" borderId="18" xfId="0" applyFont="1" applyBorder="1" applyAlignment="1">
      <alignment horizontal="center" vertical="center"/>
    </xf>
    <xf numFmtId="0" fontId="6" fillId="0" borderId="18" xfId="0" applyFont="1" applyBorder="1" applyAlignment="1">
      <alignment horizontal="left" vertical="center"/>
    </xf>
    <xf numFmtId="3" fontId="1" fillId="5" borderId="2" xfId="0" applyNumberFormat="1" applyFont="1" applyFill="1" applyBorder="1" applyAlignment="1">
      <alignment horizontal="center" vertical="top" wrapText="1"/>
    </xf>
    <xf numFmtId="3" fontId="1" fillId="5" borderId="5" xfId="0" applyNumberFormat="1" applyFont="1" applyFill="1" applyBorder="1" applyAlignment="1">
      <alignment horizontal="center" vertical="top" wrapText="1"/>
    </xf>
    <xf numFmtId="0" fontId="8" fillId="0" borderId="0" xfId="0" applyFont="1" applyAlignment="1">
      <alignment vertical="center"/>
    </xf>
    <xf numFmtId="0" fontId="1" fillId="6" borderId="4" xfId="0" applyFont="1" applyFill="1" applyBorder="1" applyAlignment="1">
      <alignment horizontal="left" vertical="top"/>
    </xf>
    <xf numFmtId="0" fontId="0" fillId="6" borderId="5" xfId="0" applyFill="1" applyBorder="1" applyAlignment="1">
      <alignment vertical="top"/>
    </xf>
    <xf numFmtId="3" fontId="1" fillId="6" borderId="5" xfId="0" applyNumberFormat="1" applyFont="1" applyFill="1" applyBorder="1" applyAlignment="1">
      <alignment horizontal="center" vertical="top"/>
    </xf>
    <xf numFmtId="0" fontId="1" fillId="6" borderId="19" xfId="0" applyFont="1" applyFill="1" applyBorder="1" applyAlignment="1">
      <alignment horizontal="left" vertical="top"/>
    </xf>
    <xf numFmtId="0" fontId="0" fillId="6" borderId="20" xfId="0" applyFill="1" applyBorder="1" applyAlignment="1">
      <alignment vertical="top"/>
    </xf>
    <xf numFmtId="3" fontId="1" fillId="6" borderId="20" xfId="0" applyNumberFormat="1" applyFont="1" applyFill="1" applyBorder="1" applyAlignment="1">
      <alignment horizontal="center" vertical="top"/>
    </xf>
    <xf numFmtId="0" fontId="0" fillId="0" borderId="17" xfId="0" applyFill="1" applyBorder="1" applyAlignment="1">
      <alignment vertical="top"/>
    </xf>
    <xf numFmtId="0" fontId="0" fillId="0" borderId="3" xfId="0" applyFill="1" applyBorder="1" applyAlignment="1">
      <alignment vertical="top" wrapText="1"/>
    </xf>
    <xf numFmtId="0" fontId="0" fillId="0" borderId="6" xfId="0" applyFill="1" applyBorder="1" applyAlignment="1">
      <alignment vertical="top" wrapText="1"/>
    </xf>
    <xf numFmtId="0" fontId="0" fillId="0" borderId="6" xfId="0" applyFill="1" applyBorder="1" applyAlignment="1">
      <alignment vertical="top"/>
    </xf>
    <xf numFmtId="0" fontId="1" fillId="0" borderId="1" xfId="0" applyFont="1" applyBorder="1" applyAlignment="1">
      <alignment horizontal="center"/>
    </xf>
    <xf numFmtId="0" fontId="1" fillId="8" borderId="22" xfId="0" applyFont="1" applyFill="1" applyBorder="1" applyAlignment="1">
      <alignment horizontal="left"/>
    </xf>
    <xf numFmtId="3" fontId="0" fillId="0" borderId="21" xfId="0" applyNumberFormat="1" applyFill="1" applyBorder="1" applyAlignment="1">
      <alignment vertical="top"/>
    </xf>
    <xf numFmtId="0" fontId="6" fillId="0" borderId="0" xfId="0" applyFont="1" applyBorder="1" applyAlignment="1">
      <alignment horizontal="center" vertical="center"/>
    </xf>
    <xf numFmtId="0" fontId="1" fillId="0" borderId="0" xfId="0" applyFont="1" applyAlignment="1">
      <alignment vertical="center"/>
    </xf>
    <xf numFmtId="0" fontId="1" fillId="0" borderId="18" xfId="0" applyFont="1" applyBorder="1"/>
    <xf numFmtId="0" fontId="1" fillId="3" borderId="27" xfId="0" applyFont="1" applyFill="1" applyBorder="1" applyAlignment="1">
      <alignment horizontal="center"/>
    </xf>
    <xf numFmtId="14" fontId="1" fillId="3" borderId="28" xfId="0" applyNumberFormat="1" applyFont="1" applyFill="1" applyBorder="1" applyAlignment="1">
      <alignment horizontal="center" vertical="top" wrapText="1"/>
    </xf>
    <xf numFmtId="14" fontId="1" fillId="0" borderId="25" xfId="0" applyNumberFormat="1" applyFont="1" applyBorder="1" applyAlignment="1">
      <alignment horizontal="center" vertical="top" wrapText="1"/>
    </xf>
    <xf numFmtId="3" fontId="0" fillId="0" borderId="25" xfId="0" applyNumberFormat="1" applyBorder="1" applyAlignment="1">
      <alignment horizontal="center" vertical="top" wrapText="1"/>
    </xf>
    <xf numFmtId="0" fontId="0" fillId="0" borderId="25" xfId="0" applyBorder="1" applyAlignment="1">
      <alignment horizontal="center" vertical="top" wrapText="1"/>
    </xf>
    <xf numFmtId="3" fontId="1" fillId="4" borderId="29" xfId="0" applyNumberFormat="1" applyFont="1" applyFill="1" applyBorder="1" applyAlignment="1">
      <alignment horizontal="center" vertical="top"/>
    </xf>
    <xf numFmtId="3" fontId="1" fillId="6" borderId="24" xfId="0" applyNumberFormat="1" applyFont="1" applyFill="1" applyBorder="1" applyAlignment="1">
      <alignment horizontal="center" vertical="top"/>
    </xf>
    <xf numFmtId="3" fontId="1" fillId="5" borderId="25" xfId="0" applyNumberFormat="1" applyFont="1" applyFill="1" applyBorder="1" applyAlignment="1">
      <alignment horizontal="center" vertical="top" wrapText="1"/>
    </xf>
    <xf numFmtId="3" fontId="1" fillId="5" borderId="26" xfId="0" applyNumberFormat="1" applyFont="1" applyFill="1" applyBorder="1" applyAlignment="1">
      <alignment horizontal="center" vertical="top" wrapText="1"/>
    </xf>
    <xf numFmtId="3" fontId="1" fillId="6" borderId="29" xfId="0" applyNumberFormat="1" applyFont="1" applyFill="1" applyBorder="1" applyAlignment="1">
      <alignment horizontal="center" vertical="top"/>
    </xf>
    <xf numFmtId="3" fontId="1" fillId="6" borderId="26" xfId="0" applyNumberFormat="1" applyFont="1" applyFill="1" applyBorder="1" applyAlignment="1">
      <alignment horizontal="center" vertical="top"/>
    </xf>
    <xf numFmtId="0" fontId="0" fillId="0" borderId="3" xfId="0" quotePrefix="1" applyFill="1" applyBorder="1" applyAlignment="1">
      <alignment vertical="top" wrapText="1"/>
    </xf>
    <xf numFmtId="0" fontId="0" fillId="0" borderId="30" xfId="0" applyBorder="1" applyAlignment="1">
      <alignment vertical="top" wrapText="1"/>
    </xf>
    <xf numFmtId="0" fontId="9" fillId="0" borderId="0" xfId="0" applyFont="1" applyAlignment="1">
      <alignment vertical="center"/>
    </xf>
    <xf numFmtId="0" fontId="6" fillId="0" borderId="0" xfId="0" applyFont="1" applyBorder="1" applyAlignment="1">
      <alignment vertical="center"/>
    </xf>
    <xf numFmtId="14" fontId="1" fillId="0" borderId="3" xfId="0" applyNumberFormat="1" applyFont="1" applyBorder="1" applyAlignment="1">
      <alignment horizontal="center" vertical="top" wrapText="1"/>
    </xf>
    <xf numFmtId="3" fontId="0" fillId="0" borderId="3" xfId="0" applyNumberFormat="1" applyBorder="1" applyAlignment="1">
      <alignment horizontal="center" vertical="top" wrapText="1"/>
    </xf>
    <xf numFmtId="0" fontId="0" fillId="0" borderId="3" xfId="0" applyBorder="1" applyAlignment="1">
      <alignment horizontal="center" vertical="top" wrapText="1"/>
    </xf>
    <xf numFmtId="3" fontId="1" fillId="4" borderId="6" xfId="0" applyNumberFormat="1" applyFont="1" applyFill="1" applyBorder="1" applyAlignment="1">
      <alignment horizontal="center" vertical="top"/>
    </xf>
    <xf numFmtId="3" fontId="1" fillId="6" borderId="34" xfId="0" applyNumberFormat="1" applyFont="1" applyFill="1" applyBorder="1" applyAlignment="1">
      <alignment horizontal="center" vertical="top"/>
    </xf>
    <xf numFmtId="3" fontId="1" fillId="5" borderId="23" xfId="0" applyNumberFormat="1" applyFont="1" applyFill="1" applyBorder="1" applyAlignment="1">
      <alignment horizontal="center" vertical="top" wrapText="1"/>
    </xf>
    <xf numFmtId="3" fontId="1" fillId="5" borderId="35" xfId="0" applyNumberFormat="1" applyFont="1" applyFill="1" applyBorder="1" applyAlignment="1">
      <alignment horizontal="center" vertical="top" wrapText="1"/>
    </xf>
    <xf numFmtId="3" fontId="1" fillId="6" borderId="36" xfId="0" applyNumberFormat="1" applyFont="1" applyFill="1" applyBorder="1" applyAlignment="1">
      <alignment horizontal="center" vertical="top"/>
    </xf>
    <xf numFmtId="3" fontId="1" fillId="6" borderId="35" xfId="0" applyNumberFormat="1" applyFont="1" applyFill="1" applyBorder="1" applyAlignment="1">
      <alignment horizontal="center" vertical="top"/>
    </xf>
    <xf numFmtId="0" fontId="0" fillId="0" borderId="0" xfId="0" applyBorder="1" applyAlignment="1">
      <alignment vertical="center"/>
    </xf>
    <xf numFmtId="0" fontId="6" fillId="0" borderId="0" xfId="0" applyFont="1" applyFill="1" applyBorder="1" applyAlignment="1">
      <alignment horizontal="center" vertical="center"/>
    </xf>
    <xf numFmtId="0" fontId="1" fillId="0" borderId="0" xfId="0" applyFont="1" applyBorder="1" applyAlignment="1">
      <alignment vertical="center"/>
    </xf>
    <xf numFmtId="0" fontId="7" fillId="0" borderId="18" xfId="0" applyFont="1" applyBorder="1" applyAlignment="1">
      <alignment horizontal="center" vertical="center"/>
    </xf>
    <xf numFmtId="0" fontId="7" fillId="0" borderId="18" xfId="0" applyFont="1" applyBorder="1" applyAlignment="1">
      <alignment vertical="center"/>
    </xf>
    <xf numFmtId="0" fontId="1" fillId="0" borderId="0" xfId="0" applyFont="1" applyBorder="1" applyAlignment="1">
      <alignment horizontal="center" vertical="center"/>
    </xf>
    <xf numFmtId="0" fontId="1" fillId="0" borderId="0" xfId="0" applyFont="1" applyAlignment="1">
      <alignment horizontal="center" vertical="center"/>
    </xf>
    <xf numFmtId="0" fontId="7" fillId="9" borderId="18" xfId="0" applyFont="1" applyFill="1" applyBorder="1" applyAlignment="1">
      <alignment horizontal="center" vertical="center"/>
    </xf>
    <xf numFmtId="0" fontId="1" fillId="11" borderId="44" xfId="0" applyFont="1" applyFill="1" applyBorder="1"/>
    <xf numFmtId="0" fontId="1" fillId="11" borderId="45" xfId="0" applyFont="1" applyFill="1" applyBorder="1"/>
    <xf numFmtId="0" fontId="11" fillId="0" borderId="0" xfId="0" applyFont="1" applyAlignment="1">
      <alignment vertical="center"/>
    </xf>
    <xf numFmtId="0" fontId="9" fillId="0" borderId="0" xfId="0" applyFont="1" applyAlignment="1">
      <alignment horizontal="left" vertical="center" indent="5"/>
    </xf>
    <xf numFmtId="0" fontId="12" fillId="0" borderId="0" xfId="0" applyFont="1" applyAlignment="1">
      <alignment vertical="center"/>
    </xf>
    <xf numFmtId="0" fontId="13" fillId="0" borderId="0" xfId="0" applyFont="1" applyAlignment="1">
      <alignment vertical="center"/>
    </xf>
    <xf numFmtId="3" fontId="0" fillId="0" borderId="43" xfId="0" applyNumberFormat="1" applyBorder="1" applyAlignment="1">
      <alignment horizontal="center"/>
    </xf>
    <xf numFmtId="3" fontId="0" fillId="0" borderId="19" xfId="0" applyNumberFormat="1" applyBorder="1" applyAlignment="1">
      <alignment horizontal="center"/>
    </xf>
    <xf numFmtId="3" fontId="0" fillId="0" borderId="21" xfId="0" applyNumberFormat="1" applyBorder="1" applyAlignment="1">
      <alignment horizontal="center"/>
    </xf>
    <xf numFmtId="3" fontId="0" fillId="0" borderId="19" xfId="0" applyNumberFormat="1" applyBorder="1"/>
    <xf numFmtId="3" fontId="0" fillId="0" borderId="1" xfId="0" applyNumberFormat="1" applyBorder="1" applyAlignment="1">
      <alignment horizontal="center"/>
    </xf>
    <xf numFmtId="3" fontId="0" fillId="0" borderId="3" xfId="0" applyNumberFormat="1" applyBorder="1" applyAlignment="1">
      <alignment horizontal="center"/>
    </xf>
    <xf numFmtId="3" fontId="0" fillId="0" borderId="1" xfId="0" applyNumberFormat="1" applyBorder="1"/>
    <xf numFmtId="3" fontId="0" fillId="0" borderId="30" xfId="0" applyNumberFormat="1" applyBorder="1"/>
    <xf numFmtId="3" fontId="0" fillId="0" borderId="4" xfId="0" applyNumberFormat="1" applyBorder="1" applyAlignment="1">
      <alignment horizontal="center"/>
    </xf>
    <xf numFmtId="3" fontId="0" fillId="0" borderId="6" xfId="0" applyNumberFormat="1" applyBorder="1" applyAlignment="1">
      <alignment horizontal="center"/>
    </xf>
    <xf numFmtId="3" fontId="0" fillId="0" borderId="4" xfId="0" applyNumberFormat="1" applyBorder="1"/>
    <xf numFmtId="3" fontId="0" fillId="0" borderId="6" xfId="0" applyNumberFormat="1" applyBorder="1"/>
    <xf numFmtId="3" fontId="0" fillId="0" borderId="30" xfId="0" applyNumberFormat="1" applyBorder="1" applyAlignment="1">
      <alignment horizontal="center"/>
    </xf>
    <xf numFmtId="0" fontId="10" fillId="12" borderId="9" xfId="0" applyFont="1" applyFill="1" applyBorder="1"/>
    <xf numFmtId="0" fontId="0" fillId="12" borderId="32" xfId="0" applyFill="1" applyBorder="1"/>
    <xf numFmtId="0" fontId="0" fillId="12" borderId="31" xfId="0" applyFill="1" applyBorder="1"/>
    <xf numFmtId="0" fontId="0" fillId="12" borderId="41" xfId="0" applyFill="1" applyBorder="1"/>
    <xf numFmtId="0" fontId="0" fillId="12" borderId="42" xfId="0" applyFill="1" applyBorder="1"/>
    <xf numFmtId="0" fontId="1" fillId="13" borderId="22" xfId="0" applyFont="1" applyFill="1" applyBorder="1" applyAlignment="1">
      <alignment horizontal="right"/>
    </xf>
    <xf numFmtId="0" fontId="0" fillId="12" borderId="50" xfId="0" applyFill="1" applyBorder="1"/>
    <xf numFmtId="0" fontId="1" fillId="11" borderId="48" xfId="0" applyFont="1" applyFill="1" applyBorder="1" applyAlignment="1">
      <alignment horizontal="center"/>
    </xf>
    <xf numFmtId="0" fontId="1" fillId="11" borderId="49" xfId="0" applyFont="1" applyFill="1" applyBorder="1" applyAlignment="1">
      <alignment horizontal="center"/>
    </xf>
    <xf numFmtId="0" fontId="1" fillId="13" borderId="9" xfId="0" applyFont="1" applyFill="1" applyBorder="1"/>
    <xf numFmtId="0" fontId="10" fillId="15" borderId="9" xfId="0" applyFont="1" applyFill="1" applyBorder="1"/>
    <xf numFmtId="0" fontId="0" fillId="15" borderId="32" xfId="0" applyFill="1" applyBorder="1"/>
    <xf numFmtId="0" fontId="0" fillId="15" borderId="31" xfId="0" applyFill="1" applyBorder="1"/>
    <xf numFmtId="0" fontId="0" fillId="15" borderId="41" xfId="0" applyFill="1" applyBorder="1"/>
    <xf numFmtId="0" fontId="0" fillId="15" borderId="42" xfId="0" applyFill="1" applyBorder="1"/>
    <xf numFmtId="0" fontId="0" fillId="15" borderId="50" xfId="0" applyFill="1" applyBorder="1"/>
    <xf numFmtId="0" fontId="1" fillId="13" borderId="22" xfId="0" applyFont="1" applyFill="1" applyBorder="1"/>
    <xf numFmtId="0" fontId="1" fillId="6" borderId="40" xfId="0" applyFont="1" applyFill="1" applyBorder="1"/>
    <xf numFmtId="0" fontId="1" fillId="0" borderId="52" xfId="0" applyFont="1" applyBorder="1" applyAlignment="1">
      <alignment horizontal="center"/>
    </xf>
    <xf numFmtId="3" fontId="0" fillId="0" borderId="47" xfId="0" applyNumberFormat="1" applyBorder="1" applyAlignment="1">
      <alignment horizontal="center"/>
    </xf>
    <xf numFmtId="3" fontId="1" fillId="13" borderId="40" xfId="0" applyNumberFormat="1" applyFont="1" applyFill="1" applyBorder="1" applyAlignment="1">
      <alignment horizontal="center"/>
    </xf>
    <xf numFmtId="3" fontId="1" fillId="6" borderId="40" xfId="0" applyNumberFormat="1" applyFont="1" applyFill="1" applyBorder="1" applyAlignment="1">
      <alignment horizontal="center"/>
    </xf>
    <xf numFmtId="3" fontId="1" fillId="0" borderId="52" xfId="0" applyNumberFormat="1" applyFont="1" applyBorder="1" applyAlignment="1">
      <alignment horizontal="center"/>
    </xf>
    <xf numFmtId="3" fontId="0" fillId="0" borderId="21" xfId="0" quotePrefix="1" applyNumberFormat="1" applyBorder="1" applyAlignment="1">
      <alignment horizontal="center"/>
    </xf>
    <xf numFmtId="3" fontId="0" fillId="0" borderId="3" xfId="0" quotePrefix="1" applyNumberFormat="1" applyBorder="1" applyAlignment="1">
      <alignment horizontal="center"/>
    </xf>
    <xf numFmtId="14" fontId="1" fillId="12" borderId="28" xfId="0" applyNumberFormat="1" applyFont="1" applyFill="1" applyBorder="1" applyAlignment="1">
      <alignment horizontal="center" vertical="top" wrapText="1"/>
    </xf>
    <xf numFmtId="14" fontId="1" fillId="12" borderId="11" xfId="0" applyNumberFormat="1" applyFont="1" applyFill="1" applyBorder="1" applyAlignment="1">
      <alignment horizontal="center" vertical="top" wrapText="1"/>
    </xf>
    <xf numFmtId="0" fontId="1" fillId="12" borderId="27" xfId="0" applyFont="1" applyFill="1" applyBorder="1" applyAlignment="1">
      <alignment horizontal="center"/>
    </xf>
    <xf numFmtId="0" fontId="1" fillId="12" borderId="12" xfId="0" applyFont="1" applyFill="1" applyBorder="1" applyAlignment="1">
      <alignment horizontal="center"/>
    </xf>
    <xf numFmtId="0" fontId="1" fillId="12" borderId="47" xfId="0" applyFont="1" applyFill="1" applyBorder="1" applyAlignment="1">
      <alignment horizontal="center"/>
    </xf>
    <xf numFmtId="14" fontId="1" fillId="12" borderId="53" xfId="0" applyNumberFormat="1" applyFont="1" applyFill="1" applyBorder="1" applyAlignment="1">
      <alignment horizontal="center" vertical="top" wrapText="1"/>
    </xf>
    <xf numFmtId="14" fontId="1" fillId="0" borderId="30" xfId="0" applyNumberFormat="1" applyFont="1" applyBorder="1" applyAlignment="1">
      <alignment horizontal="center" vertical="top" wrapText="1"/>
    </xf>
    <xf numFmtId="3" fontId="0" fillId="0" borderId="30" xfId="0" applyNumberFormat="1" applyBorder="1" applyAlignment="1">
      <alignment horizontal="center" vertical="top" wrapText="1"/>
    </xf>
    <xf numFmtId="0" fontId="0" fillId="0" borderId="30" xfId="0" applyBorder="1" applyAlignment="1">
      <alignment horizontal="center" vertical="top" wrapText="1"/>
    </xf>
    <xf numFmtId="3" fontId="1" fillId="4" borderId="54" xfId="0" applyNumberFormat="1" applyFont="1" applyFill="1" applyBorder="1" applyAlignment="1">
      <alignment horizontal="center" vertical="top"/>
    </xf>
    <xf numFmtId="0" fontId="14" fillId="2" borderId="11" xfId="0" applyFont="1" applyFill="1" applyBorder="1" applyAlignment="1">
      <alignment horizontal="left"/>
    </xf>
    <xf numFmtId="0" fontId="15" fillId="0" borderId="0" xfId="0" applyFont="1" applyAlignment="1">
      <alignment vertical="center"/>
    </xf>
    <xf numFmtId="0" fontId="1" fillId="0" borderId="0" xfId="0" applyFont="1" applyFill="1" applyBorder="1" applyAlignment="1"/>
    <xf numFmtId="0" fontId="0" fillId="0" borderId="0" xfId="0" applyFill="1"/>
    <xf numFmtId="3" fontId="0" fillId="11" borderId="15" xfId="0" applyNumberFormat="1" applyFill="1" applyBorder="1" applyAlignment="1">
      <alignment horizontal="center"/>
    </xf>
    <xf numFmtId="3" fontId="0" fillId="11" borderId="17" xfId="0" quotePrefix="1" applyNumberFormat="1" applyFill="1" applyBorder="1" applyAlignment="1">
      <alignment horizontal="center"/>
    </xf>
    <xf numFmtId="3" fontId="0" fillId="11" borderId="17" xfId="0" applyNumberFormat="1" applyFill="1" applyBorder="1" applyAlignment="1">
      <alignment horizontal="center"/>
    </xf>
    <xf numFmtId="3" fontId="0" fillId="11" borderId="15" xfId="0" applyNumberFormat="1" applyFill="1" applyBorder="1"/>
    <xf numFmtId="3" fontId="0" fillId="11" borderId="17" xfId="0" applyNumberFormat="1" applyFill="1" applyBorder="1"/>
    <xf numFmtId="3" fontId="0" fillId="11" borderId="30" xfId="0" applyNumberFormat="1" applyFill="1" applyBorder="1" applyAlignment="1">
      <alignment horizontal="center"/>
    </xf>
    <xf numFmtId="3" fontId="1" fillId="0" borderId="18" xfId="0" applyNumberFormat="1" applyFont="1" applyBorder="1" applyAlignment="1">
      <alignment horizontal="center"/>
    </xf>
    <xf numFmtId="3" fontId="1" fillId="0" borderId="18" xfId="0" applyNumberFormat="1" applyFont="1" applyBorder="1"/>
    <xf numFmtId="3" fontId="7" fillId="0" borderId="18" xfId="0" applyNumberFormat="1" applyFont="1" applyBorder="1" applyAlignment="1">
      <alignment horizontal="center" vertical="center"/>
    </xf>
    <xf numFmtId="3" fontId="6" fillId="0" borderId="18" xfId="0" applyNumberFormat="1" applyFont="1" applyBorder="1" applyAlignment="1">
      <alignment vertical="center"/>
    </xf>
    <xf numFmtId="3" fontId="7" fillId="0" borderId="18" xfId="0" applyNumberFormat="1" applyFont="1" applyBorder="1" applyAlignment="1">
      <alignment vertical="center"/>
    </xf>
    <xf numFmtId="3" fontId="6" fillId="0" borderId="18" xfId="0" applyNumberFormat="1" applyFont="1" applyBorder="1" applyAlignment="1">
      <alignment horizontal="center" vertical="center"/>
    </xf>
    <xf numFmtId="3" fontId="0" fillId="0" borderId="18" xfId="0" applyNumberFormat="1" applyBorder="1" applyAlignment="1">
      <alignment horizontal="center"/>
    </xf>
    <xf numFmtId="3" fontId="0" fillId="0" borderId="18" xfId="0" applyNumberFormat="1" applyFont="1" applyBorder="1" applyAlignment="1">
      <alignment horizontal="center"/>
    </xf>
    <xf numFmtId="3" fontId="0" fillId="0" borderId="2" xfId="0" applyNumberFormat="1" applyBorder="1" applyAlignment="1">
      <alignment horizontal="center"/>
    </xf>
    <xf numFmtId="3" fontId="0" fillId="0" borderId="2" xfId="0" applyNumberFormat="1" applyFont="1" applyBorder="1" applyAlignment="1">
      <alignment horizontal="center"/>
    </xf>
    <xf numFmtId="0" fontId="16" fillId="0" borderId="0" xfId="0" applyFont="1" applyAlignment="1">
      <alignment vertical="center"/>
    </xf>
    <xf numFmtId="3" fontId="1" fillId="0" borderId="0" xfId="0" applyNumberFormat="1" applyFont="1" applyBorder="1" applyAlignment="1">
      <alignment vertical="center"/>
    </xf>
    <xf numFmtId="0" fontId="17" fillId="6" borderId="52" xfId="0" applyFont="1" applyFill="1" applyBorder="1" applyAlignment="1">
      <alignment vertical="center"/>
    </xf>
    <xf numFmtId="0" fontId="17" fillId="6" borderId="51" xfId="0" applyFont="1" applyFill="1" applyBorder="1" applyAlignment="1">
      <alignment vertical="center"/>
    </xf>
    <xf numFmtId="0" fontId="1" fillId="6" borderId="47" xfId="0" applyFont="1" applyFill="1" applyBorder="1"/>
    <xf numFmtId="3" fontId="0" fillId="0" borderId="3" xfId="0" applyNumberFormat="1" applyFill="1" applyBorder="1" applyAlignment="1">
      <alignment horizontal="center" vertical="top" wrapText="1"/>
    </xf>
    <xf numFmtId="0" fontId="19" fillId="0" borderId="0" xfId="0" applyFont="1"/>
    <xf numFmtId="0" fontId="1" fillId="10" borderId="47" xfId="0" applyFont="1" applyFill="1" applyBorder="1" applyAlignment="1"/>
    <xf numFmtId="0" fontId="0" fillId="10" borderId="47" xfId="0" applyFill="1" applyBorder="1" applyAlignment="1">
      <alignment horizontal="center"/>
    </xf>
    <xf numFmtId="0" fontId="0" fillId="10" borderId="47" xfId="0" applyFill="1" applyBorder="1" applyAlignment="1">
      <alignment vertical="center"/>
    </xf>
    <xf numFmtId="0" fontId="1" fillId="10" borderId="47" xfId="0" applyFont="1" applyFill="1" applyBorder="1" applyAlignment="1">
      <alignment horizontal="center" wrapText="1"/>
    </xf>
    <xf numFmtId="0" fontId="20" fillId="0" borderId="0" xfId="0" applyFont="1"/>
    <xf numFmtId="0" fontId="6" fillId="0" borderId="39" xfId="0" applyFont="1" applyBorder="1" applyAlignment="1">
      <alignment vertical="center"/>
    </xf>
    <xf numFmtId="3" fontId="6" fillId="0" borderId="39" xfId="0" applyNumberFormat="1" applyFont="1" applyBorder="1" applyAlignment="1">
      <alignment horizontal="center" vertical="center"/>
    </xf>
    <xf numFmtId="3" fontId="0" fillId="0" borderId="39" xfId="0" applyNumberFormat="1" applyBorder="1" applyAlignment="1">
      <alignment horizontal="center"/>
    </xf>
    <xf numFmtId="0" fontId="0" fillId="0" borderId="18" xfId="0" applyFont="1" applyFill="1" applyBorder="1" applyAlignment="1">
      <alignment horizontal="center" wrapText="1"/>
    </xf>
    <xf numFmtId="1" fontId="1" fillId="0" borderId="0" xfId="0" applyNumberFormat="1" applyFont="1" applyAlignment="1">
      <alignment horizontal="center" vertical="center"/>
    </xf>
    <xf numFmtId="0" fontId="6" fillId="0" borderId="39" xfId="0" applyFont="1" applyBorder="1" applyAlignment="1">
      <alignment horizontal="center" vertical="center"/>
    </xf>
    <xf numFmtId="1" fontId="0" fillId="0" borderId="0" xfId="0" applyNumberFormat="1" applyAlignment="1">
      <alignment horizontal="center" vertical="center"/>
    </xf>
    <xf numFmtId="0" fontId="0" fillId="8" borderId="55" xfId="0" applyFill="1" applyBorder="1"/>
    <xf numFmtId="3" fontId="1" fillId="4" borderId="56" xfId="0" applyNumberFormat="1" applyFont="1" applyFill="1" applyBorder="1" applyAlignment="1">
      <alignment horizontal="center" vertical="top"/>
    </xf>
    <xf numFmtId="3" fontId="1" fillId="6" borderId="43" xfId="0" applyNumberFormat="1" applyFont="1" applyFill="1" applyBorder="1" applyAlignment="1">
      <alignment horizontal="center" vertical="top"/>
    </xf>
    <xf numFmtId="3" fontId="1" fillId="5" borderId="30" xfId="0" applyNumberFormat="1" applyFont="1" applyFill="1" applyBorder="1" applyAlignment="1">
      <alignment horizontal="center" vertical="top" wrapText="1"/>
    </xf>
    <xf numFmtId="3" fontId="1" fillId="5" borderId="30" xfId="0" quotePrefix="1" applyNumberFormat="1" applyFont="1" applyFill="1" applyBorder="1" applyAlignment="1">
      <alignment horizontal="center" vertical="top" wrapText="1"/>
    </xf>
    <xf numFmtId="3" fontId="1" fillId="6" borderId="30" xfId="0" applyNumberFormat="1" applyFont="1" applyFill="1" applyBorder="1" applyAlignment="1">
      <alignment horizontal="center" vertical="top"/>
    </xf>
    <xf numFmtId="3" fontId="1" fillId="6" borderId="30" xfId="0" quotePrefix="1" applyNumberFormat="1" applyFont="1" applyFill="1" applyBorder="1" applyAlignment="1">
      <alignment horizontal="center" vertical="top"/>
    </xf>
    <xf numFmtId="3" fontId="1" fillId="6" borderId="54" xfId="0" applyNumberFormat="1" applyFont="1" applyFill="1" applyBorder="1" applyAlignment="1">
      <alignment horizontal="center" vertical="top"/>
    </xf>
    <xf numFmtId="3" fontId="1" fillId="5" borderId="57" xfId="0" applyNumberFormat="1" applyFont="1" applyFill="1" applyBorder="1" applyAlignment="1">
      <alignment horizontal="center" vertical="top" wrapText="1"/>
    </xf>
    <xf numFmtId="0" fontId="1" fillId="0" borderId="4" xfId="0" applyFont="1" applyBorder="1" applyAlignment="1">
      <alignment horizontal="center"/>
    </xf>
    <xf numFmtId="0" fontId="0" fillId="8" borderId="55" xfId="0" applyFill="1" applyBorder="1" applyAlignment="1">
      <alignment horizontal="center"/>
    </xf>
    <xf numFmtId="0" fontId="1" fillId="0" borderId="59" xfId="0" applyFont="1" applyBorder="1" applyAlignment="1">
      <alignment horizontal="center"/>
    </xf>
    <xf numFmtId="0" fontId="1" fillId="9" borderId="60" xfId="0" applyFont="1" applyFill="1" applyBorder="1" applyAlignment="1"/>
    <xf numFmtId="0" fontId="1" fillId="9" borderId="60" xfId="0" applyFont="1" applyFill="1" applyBorder="1" applyAlignment="1">
      <alignment horizontal="center"/>
    </xf>
    <xf numFmtId="0" fontId="1" fillId="9" borderId="60" xfId="0" applyFont="1" applyFill="1" applyBorder="1" applyAlignment="1">
      <alignment horizontal="center" wrapText="1"/>
    </xf>
    <xf numFmtId="0" fontId="7" fillId="0" borderId="61" xfId="0" applyFont="1" applyBorder="1" applyAlignment="1">
      <alignment vertical="center"/>
    </xf>
    <xf numFmtId="0" fontId="7" fillId="0" borderId="61" xfId="0" applyFont="1" applyBorder="1" applyAlignment="1">
      <alignment horizontal="center" vertical="center"/>
    </xf>
    <xf numFmtId="0" fontId="6" fillId="0" borderId="61" xfId="0" applyFont="1" applyBorder="1" applyAlignment="1">
      <alignment vertical="center"/>
    </xf>
    <xf numFmtId="0" fontId="6" fillId="0" borderId="61" xfId="0" applyFont="1" applyBorder="1" applyAlignment="1">
      <alignment horizontal="center" vertical="center"/>
    </xf>
    <xf numFmtId="0" fontId="7" fillId="9" borderId="60" xfId="0" applyFont="1" applyFill="1" applyBorder="1" applyAlignment="1">
      <alignment vertical="center"/>
    </xf>
    <xf numFmtId="0" fontId="6" fillId="9" borderId="60" xfId="0" applyFont="1" applyFill="1" applyBorder="1" applyAlignment="1">
      <alignment vertical="center"/>
    </xf>
    <xf numFmtId="0" fontId="1" fillId="6" borderId="60" xfId="0" applyFont="1" applyFill="1" applyBorder="1" applyAlignment="1">
      <alignment horizontal="center" vertical="center"/>
    </xf>
    <xf numFmtId="0" fontId="7" fillId="6" borderId="18" xfId="0" applyFont="1" applyFill="1" applyBorder="1" applyAlignment="1">
      <alignment horizontal="center" vertical="center"/>
    </xf>
    <xf numFmtId="0" fontId="1" fillId="6" borderId="60" xfId="0" applyFont="1" applyFill="1" applyBorder="1" applyAlignment="1">
      <alignment horizontal="center"/>
    </xf>
    <xf numFmtId="0" fontId="0" fillId="0" borderId="39" xfId="0" applyBorder="1" applyAlignment="1">
      <alignment horizontal="center"/>
    </xf>
    <xf numFmtId="0" fontId="0" fillId="0" borderId="62" xfId="0" applyBorder="1" applyAlignment="1">
      <alignment horizontal="center"/>
    </xf>
    <xf numFmtId="0" fontId="1" fillId="10" borderId="63" xfId="0" applyFont="1" applyFill="1" applyBorder="1" applyAlignment="1"/>
    <xf numFmtId="0" fontId="0" fillId="10" borderId="63" xfId="0" applyFill="1" applyBorder="1" applyAlignment="1">
      <alignment horizontal="center"/>
    </xf>
    <xf numFmtId="0" fontId="0" fillId="10" borderId="63" xfId="0" applyFill="1" applyBorder="1" applyAlignment="1">
      <alignment vertical="center"/>
    </xf>
    <xf numFmtId="0" fontId="0" fillId="0" borderId="0" xfId="0" applyBorder="1" applyAlignment="1"/>
    <xf numFmtId="0" fontId="0" fillId="0" borderId="32" xfId="0" applyBorder="1" applyAlignment="1">
      <alignment horizontal="left"/>
    </xf>
    <xf numFmtId="3" fontId="6" fillId="0" borderId="64" xfId="0" applyNumberFormat="1" applyFont="1" applyBorder="1" applyAlignment="1">
      <alignment horizontal="center" vertical="center"/>
    </xf>
    <xf numFmtId="0" fontId="6" fillId="0" borderId="61" xfId="0" applyFont="1" applyBorder="1" applyAlignment="1">
      <alignment horizontal="left" vertical="center"/>
    </xf>
    <xf numFmtId="0" fontId="6" fillId="0" borderId="64" xfId="0" applyFont="1" applyBorder="1" applyAlignment="1">
      <alignment horizontal="center" vertical="center"/>
    </xf>
    <xf numFmtId="3" fontId="0" fillId="0" borderId="64" xfId="0" applyNumberFormat="1" applyBorder="1" applyAlignment="1">
      <alignment horizontal="center"/>
    </xf>
    <xf numFmtId="0" fontId="6" fillId="11" borderId="18" xfId="0" applyFont="1" applyFill="1" applyBorder="1" applyAlignment="1">
      <alignment vertical="center"/>
    </xf>
    <xf numFmtId="3" fontId="6" fillId="11" borderId="18" xfId="0" applyNumberFormat="1" applyFont="1" applyFill="1" applyBorder="1" applyAlignment="1">
      <alignment horizontal="center" vertical="center"/>
    </xf>
    <xf numFmtId="0" fontId="6" fillId="11" borderId="18" xfId="0" applyFont="1" applyFill="1" applyBorder="1" applyAlignment="1">
      <alignment horizontal="left" vertical="center"/>
    </xf>
    <xf numFmtId="0" fontId="6" fillId="11" borderId="18" xfId="0" applyFont="1" applyFill="1" applyBorder="1" applyAlignment="1">
      <alignment horizontal="center" vertical="center"/>
    </xf>
    <xf numFmtId="3" fontId="0" fillId="11" borderId="18" xfId="0" applyNumberFormat="1" applyFill="1" applyBorder="1" applyAlignment="1">
      <alignment horizontal="center"/>
    </xf>
    <xf numFmtId="0" fontId="0" fillId="11" borderId="38" xfId="0" applyFill="1" applyBorder="1" applyAlignment="1">
      <alignment vertical="center"/>
    </xf>
    <xf numFmtId="0" fontId="9" fillId="11" borderId="33" xfId="0" applyFont="1" applyFill="1" applyBorder="1" applyAlignment="1">
      <alignment vertical="center"/>
    </xf>
    <xf numFmtId="0" fontId="0" fillId="11" borderId="18" xfId="0" applyFont="1" applyFill="1" applyBorder="1" applyAlignment="1">
      <alignment horizontal="center" wrapText="1"/>
    </xf>
    <xf numFmtId="0" fontId="0" fillId="0" borderId="61" xfId="0" applyFont="1" applyFill="1" applyBorder="1" applyAlignment="1">
      <alignment horizontal="center" wrapText="1"/>
    </xf>
    <xf numFmtId="0" fontId="0" fillId="0" borderId="39" xfId="0" applyFont="1" applyFill="1" applyBorder="1" applyAlignment="1">
      <alignment horizontal="center" wrapText="1"/>
    </xf>
    <xf numFmtId="0" fontId="6" fillId="11" borderId="65" xfId="0" applyFont="1" applyFill="1" applyBorder="1" applyAlignment="1">
      <alignment horizontal="left" vertical="center"/>
    </xf>
    <xf numFmtId="0" fontId="0" fillId="11" borderId="65" xfId="0" applyFill="1" applyBorder="1" applyAlignment="1">
      <alignment vertical="center"/>
    </xf>
    <xf numFmtId="0" fontId="9" fillId="11" borderId="65" xfId="0" applyFont="1" applyFill="1" applyBorder="1" applyAlignment="1">
      <alignment vertical="center"/>
    </xf>
    <xf numFmtId="0" fontId="10" fillId="2" borderId="13" xfId="0" applyFont="1" applyFill="1" applyBorder="1" applyAlignment="1">
      <alignment horizontal="left"/>
    </xf>
    <xf numFmtId="0" fontId="0" fillId="8" borderId="55" xfId="0" applyFill="1" applyBorder="1" applyAlignment="1">
      <alignment horizontal="center"/>
    </xf>
    <xf numFmtId="0" fontId="1" fillId="0" borderId="1" xfId="0" applyFont="1" applyFill="1" applyBorder="1" applyAlignment="1">
      <alignment horizontal="center" vertical="top" wrapText="1"/>
    </xf>
    <xf numFmtId="0" fontId="0" fillId="0" borderId="2" xfId="0" applyFill="1" applyBorder="1" applyAlignment="1">
      <alignment vertical="top" wrapText="1"/>
    </xf>
    <xf numFmtId="3" fontId="0" fillId="0" borderId="2" xfId="0" applyNumberFormat="1" applyFill="1" applyBorder="1" applyAlignment="1">
      <alignment horizontal="center" vertical="top" wrapText="1"/>
    </xf>
    <xf numFmtId="3" fontId="0" fillId="0" borderId="25" xfId="0" applyNumberFormat="1" applyFill="1" applyBorder="1" applyAlignment="1">
      <alignment horizontal="center" vertical="top" wrapText="1"/>
    </xf>
    <xf numFmtId="3" fontId="0" fillId="0" borderId="30" xfId="0" applyNumberFormat="1" applyFill="1" applyBorder="1" applyAlignment="1">
      <alignment horizontal="center" vertical="top" wrapText="1"/>
    </xf>
    <xf numFmtId="3" fontId="4" fillId="0" borderId="0" xfId="0" applyNumberFormat="1" applyFont="1" applyFill="1" applyBorder="1" applyAlignment="1">
      <alignment horizontal="center" vertical="center" wrapText="1"/>
    </xf>
    <xf numFmtId="0" fontId="3" fillId="0" borderId="0" xfId="0" applyFont="1" applyFill="1" applyAlignment="1">
      <alignment vertical="center"/>
    </xf>
    <xf numFmtId="0" fontId="4" fillId="0" borderId="0" xfId="0" applyFont="1" applyFill="1" applyBorder="1" applyAlignment="1">
      <alignment horizontal="center" vertical="center" wrapText="1"/>
    </xf>
    <xf numFmtId="0" fontId="0" fillId="8" borderId="46" xfId="0" applyFill="1" applyBorder="1" applyAlignment="1">
      <alignment horizontal="center"/>
    </xf>
    <xf numFmtId="0" fontId="0" fillId="0" borderId="67" xfId="0" applyBorder="1" applyAlignment="1"/>
    <xf numFmtId="0" fontId="7" fillId="9" borderId="61" xfId="0" applyFont="1" applyFill="1" applyBorder="1" applyAlignment="1">
      <alignment horizontal="center" vertical="center"/>
    </xf>
    <xf numFmtId="0" fontId="6" fillId="0" borderId="68" xfId="0" applyFont="1" applyBorder="1" applyAlignment="1">
      <alignment vertical="center"/>
    </xf>
    <xf numFmtId="0" fontId="6" fillId="0" borderId="69" xfId="0" applyFont="1" applyBorder="1" applyAlignment="1">
      <alignment horizontal="center" vertical="center"/>
    </xf>
    <xf numFmtId="0" fontId="6" fillId="0" borderId="69" xfId="0" applyFont="1" applyBorder="1" applyAlignment="1">
      <alignment vertical="center"/>
    </xf>
    <xf numFmtId="0" fontId="7" fillId="9" borderId="69" xfId="0" applyFont="1" applyFill="1" applyBorder="1" applyAlignment="1">
      <alignment horizontal="center" vertical="center"/>
    </xf>
    <xf numFmtId="3" fontId="0" fillId="0" borderId="69" xfId="0" applyNumberFormat="1" applyBorder="1" applyAlignment="1">
      <alignment horizontal="center"/>
    </xf>
    <xf numFmtId="0" fontId="7" fillId="6" borderId="69" xfId="0" applyFont="1" applyFill="1" applyBorder="1" applyAlignment="1">
      <alignment horizontal="center" vertical="center"/>
    </xf>
    <xf numFmtId="0" fontId="7" fillId="6" borderId="70" xfId="0" applyFont="1" applyFill="1" applyBorder="1" applyAlignment="1">
      <alignment horizontal="center" vertical="center"/>
    </xf>
    <xf numFmtId="0" fontId="7" fillId="0" borderId="71" xfId="0" applyFont="1" applyBorder="1" applyAlignment="1">
      <alignment vertical="center"/>
    </xf>
    <xf numFmtId="3" fontId="7" fillId="0" borderId="72" xfId="0" applyNumberFormat="1" applyFont="1" applyBorder="1" applyAlignment="1">
      <alignment horizontal="center" vertical="center"/>
    </xf>
    <xf numFmtId="3" fontId="6" fillId="0" borderId="72" xfId="0" applyNumberFormat="1" applyFont="1" applyBorder="1" applyAlignment="1">
      <alignment vertical="center"/>
    </xf>
    <xf numFmtId="3" fontId="1" fillId="0" borderId="72" xfId="0" applyNumberFormat="1" applyFont="1" applyBorder="1" applyAlignment="1">
      <alignment horizontal="center"/>
    </xf>
    <xf numFmtId="3" fontId="1" fillId="0" borderId="73" xfId="0" applyNumberFormat="1" applyFont="1" applyBorder="1" applyAlignment="1">
      <alignment horizontal="center"/>
    </xf>
    <xf numFmtId="3" fontId="0" fillId="0" borderId="61" xfId="0" applyNumberFormat="1" applyBorder="1" applyAlignment="1">
      <alignment horizontal="center"/>
    </xf>
    <xf numFmtId="3" fontId="6" fillId="0" borderId="69" xfId="0" applyNumberFormat="1" applyFont="1" applyBorder="1" applyAlignment="1">
      <alignment horizontal="center" vertical="center"/>
    </xf>
    <xf numFmtId="0" fontId="7" fillId="0" borderId="39" xfId="0" applyFont="1" applyBorder="1" applyAlignment="1">
      <alignment vertical="center"/>
    </xf>
    <xf numFmtId="0" fontId="7" fillId="0" borderId="39" xfId="0" applyFont="1" applyBorder="1" applyAlignment="1">
      <alignment horizontal="center" vertical="center"/>
    </xf>
    <xf numFmtId="3" fontId="0" fillId="0" borderId="61" xfId="0" applyNumberFormat="1" applyFont="1" applyBorder="1" applyAlignment="1">
      <alignment horizontal="center"/>
    </xf>
    <xf numFmtId="3" fontId="0" fillId="0" borderId="69" xfId="0" applyNumberFormat="1" applyFont="1" applyBorder="1" applyAlignment="1">
      <alignment horizontal="center"/>
    </xf>
    <xf numFmtId="0" fontId="0" fillId="8" borderId="55" xfId="0" applyFill="1" applyBorder="1" applyAlignment="1">
      <alignment horizontal="center"/>
    </xf>
    <xf numFmtId="0" fontId="0" fillId="0" borderId="55" xfId="0" applyBorder="1" applyAlignment="1"/>
    <xf numFmtId="0" fontId="3" fillId="0" borderId="26" xfId="0" applyFont="1" applyBorder="1" applyAlignment="1">
      <alignment vertical="center"/>
    </xf>
    <xf numFmtId="0" fontId="3" fillId="0" borderId="35" xfId="0" applyFont="1" applyBorder="1" applyAlignment="1">
      <alignment vertical="center"/>
    </xf>
    <xf numFmtId="0" fontId="0" fillId="0" borderId="35" xfId="0" applyBorder="1" applyAlignment="1">
      <alignment vertical="center"/>
    </xf>
    <xf numFmtId="0" fontId="0" fillId="0" borderId="37" xfId="0" applyBorder="1" applyAlignment="1">
      <alignment vertical="center"/>
    </xf>
    <xf numFmtId="0" fontId="0" fillId="0" borderId="24" xfId="0" applyFill="1" applyBorder="1" applyAlignment="1">
      <alignment vertical="top"/>
    </xf>
    <xf numFmtId="0" fontId="0" fillId="0" borderId="34" xfId="0" applyBorder="1" applyAlignment="1"/>
    <xf numFmtId="0" fontId="0" fillId="0" borderId="66" xfId="0" applyBorder="1" applyAlignment="1"/>
    <xf numFmtId="0" fontId="0" fillId="0" borderId="25" xfId="0" applyFill="1" applyBorder="1" applyAlignment="1">
      <alignment vertical="top"/>
    </xf>
    <xf numFmtId="0" fontId="0" fillId="0" borderId="23" xfId="0" applyBorder="1" applyAlignment="1"/>
    <xf numFmtId="0" fontId="0" fillId="0" borderId="58" xfId="0" applyBorder="1" applyAlignment="1"/>
    <xf numFmtId="0" fontId="1" fillId="13" borderId="22" xfId="0" applyFont="1" applyFill="1" applyBorder="1" applyAlignment="1">
      <alignment horizontal="center"/>
    </xf>
    <xf numFmtId="0" fontId="0" fillId="13" borderId="46" xfId="0" applyFill="1" applyBorder="1" applyAlignment="1">
      <alignment horizontal="center"/>
    </xf>
    <xf numFmtId="0" fontId="1" fillId="13" borderId="47" xfId="0" applyFont="1" applyFill="1" applyBorder="1" applyAlignment="1">
      <alignment horizontal="center" wrapText="1"/>
    </xf>
    <xf numFmtId="0" fontId="0" fillId="0" borderId="51" xfId="0" applyBorder="1" applyAlignment="1">
      <alignment horizontal="center" wrapText="1"/>
    </xf>
    <xf numFmtId="0" fontId="1" fillId="14" borderId="22" xfId="0" applyFont="1" applyFill="1" applyBorder="1" applyAlignment="1">
      <alignment horizontal="center"/>
    </xf>
    <xf numFmtId="0" fontId="0" fillId="14" borderId="46" xfId="0" applyFill="1" applyBorder="1" applyAlignment="1">
      <alignment horizontal="center"/>
    </xf>
    <xf numFmtId="0" fontId="0" fillId="13" borderId="51" xfId="0" applyFill="1" applyBorder="1" applyAlignment="1">
      <alignment horizontal="center" wrapText="1"/>
    </xf>
  </cellXfs>
  <cellStyles count="1">
    <cellStyle name="Standaard" xfId="0" builtinId="0"/>
  </cellStyles>
  <dxfs count="0"/>
  <tableStyles count="0" defaultTableStyle="TableStyleMedium2" defaultPivotStyle="PivotStyleLight16"/>
  <colors>
    <mruColors>
      <color rgb="FFFFCCFF"/>
      <color rgb="FFFFCC99"/>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Activiteit</a:t>
            </a:r>
            <a:r>
              <a:rPr lang="en-US" baseline="0"/>
              <a:t> per leverancier</a:t>
            </a:r>
          </a:p>
          <a:p>
            <a:pPr>
              <a:defRPr/>
            </a:pPr>
            <a:r>
              <a:rPr lang="en-US" sz="1400" baseline="0"/>
              <a:t>ProeftuinTussen )R22 - Guus)</a:t>
            </a:r>
          </a:p>
          <a:p>
            <a:pPr>
              <a:defRPr/>
            </a:pPr>
            <a:r>
              <a:rPr lang="en-US" sz="1400" baseline="0"/>
              <a:t>Rechts (R21-Frederique),</a:t>
            </a:r>
          </a:p>
          <a:p>
            <a:pPr>
              <a:defRPr/>
            </a:pPr>
            <a:r>
              <a:rPr lang="en-US" sz="1400" baseline="0"/>
              <a:t>ProeftuinTribune (R20-Emma),</a:t>
            </a:r>
            <a:br>
              <a:rPr lang="en-US" sz="1400" baseline="0"/>
            </a:br>
            <a:r>
              <a:rPr lang="en-US" sz="1400" baseline="0"/>
              <a:t>ProeftuinLinks (R19-Bernadette) </a:t>
            </a:r>
          </a:p>
          <a:p>
            <a:pPr>
              <a:defRPr/>
            </a:pPr>
            <a:r>
              <a:rPr lang="en-US" sz="1200" baseline="0"/>
              <a:t>- aantal berichten 01-07-2017 -</a:t>
            </a:r>
            <a:endParaRPr lang="en-US" sz="1200"/>
          </a:p>
        </c:rich>
      </c:tx>
      <c:overlay val="0"/>
    </c:title>
    <c:autoTitleDeleted val="0"/>
    <c:plotArea>
      <c:layout/>
      <c:lineChart>
        <c:grouping val="standard"/>
        <c:varyColors val="0"/>
        <c:ser>
          <c:idx val="0"/>
          <c:order val="0"/>
          <c:tx>
            <c:strRef>
              <c:f>TotaalOverzicht!$B$4</c:f>
              <c:strCache>
                <c:ptCount val="1"/>
                <c:pt idx="0">
                  <c:v>Centric</c:v>
                </c:pt>
              </c:strCache>
            </c:strRef>
          </c:tx>
          <c:marker>
            <c:symbol val="none"/>
          </c:marker>
          <c:cat>
            <c:numRef>
              <c:f>TotaalOverzicht!$C$3:$AR$3</c:f>
              <c:numCache>
                <c:formatCode>m/d/yyyy</c:formatCode>
                <c:ptCount val="15"/>
                <c:pt idx="0">
                  <c:v>42552</c:v>
                </c:pt>
                <c:pt idx="1">
                  <c:v>42583</c:v>
                </c:pt>
                <c:pt idx="2">
                  <c:v>42614</c:v>
                </c:pt>
                <c:pt idx="3">
                  <c:v>42644</c:v>
                </c:pt>
                <c:pt idx="4">
                  <c:v>42675</c:v>
                </c:pt>
                <c:pt idx="5">
                  <c:v>42705</c:v>
                </c:pt>
                <c:pt idx="6">
                  <c:v>42736</c:v>
                </c:pt>
                <c:pt idx="7">
                  <c:v>42767</c:v>
                </c:pt>
                <c:pt idx="8">
                  <c:v>42795</c:v>
                </c:pt>
                <c:pt idx="9">
                  <c:v>42826</c:v>
                </c:pt>
                <c:pt idx="10">
                  <c:v>42856</c:v>
                </c:pt>
                <c:pt idx="11">
                  <c:v>42887</c:v>
                </c:pt>
                <c:pt idx="12">
                  <c:v>42917</c:v>
                </c:pt>
              </c:numCache>
            </c:numRef>
          </c:cat>
          <c:val>
            <c:numRef>
              <c:f>TotaalOverzicht!$C$4:$AR$4</c:f>
              <c:numCache>
                <c:formatCode>#,##0</c:formatCode>
                <c:ptCount val="15"/>
                <c:pt idx="0">
                  <c:v>6537</c:v>
                </c:pt>
                <c:pt idx="1">
                  <c:v>7582</c:v>
                </c:pt>
                <c:pt idx="2">
                  <c:v>8893</c:v>
                </c:pt>
                <c:pt idx="3">
                  <c:v>9677</c:v>
                </c:pt>
                <c:pt idx="4">
                  <c:v>9972</c:v>
                </c:pt>
                <c:pt idx="5">
                  <c:v>10882</c:v>
                </c:pt>
                <c:pt idx="6">
                  <c:v>11401</c:v>
                </c:pt>
                <c:pt idx="7">
                  <c:v>11409</c:v>
                </c:pt>
                <c:pt idx="8">
                  <c:v>11415</c:v>
                </c:pt>
                <c:pt idx="9">
                  <c:v>11417</c:v>
                </c:pt>
                <c:pt idx="10">
                  <c:v>11417</c:v>
                </c:pt>
                <c:pt idx="11">
                  <c:v>11417</c:v>
                </c:pt>
                <c:pt idx="12">
                  <c:v>11496</c:v>
                </c:pt>
                <c:pt idx="13" formatCode="General">
                  <c:v>0</c:v>
                </c:pt>
              </c:numCache>
            </c:numRef>
          </c:val>
          <c:smooth val="0"/>
          <c:extLst>
            <c:ext xmlns:c16="http://schemas.microsoft.com/office/drawing/2014/chart" uri="{C3380CC4-5D6E-409C-BE32-E72D297353CC}">
              <c16:uniqueId val="{00000000-51E1-498C-88FE-F1F8F12F3D08}"/>
            </c:ext>
          </c:extLst>
        </c:ser>
        <c:ser>
          <c:idx val="1"/>
          <c:order val="1"/>
          <c:tx>
            <c:strRef>
              <c:f>TotaalOverzicht!$B$5</c:f>
              <c:strCache>
                <c:ptCount val="1"/>
                <c:pt idx="0">
                  <c:v>Gemboxx</c:v>
                </c:pt>
              </c:strCache>
            </c:strRef>
          </c:tx>
          <c:marker>
            <c:symbol val="none"/>
          </c:marker>
          <c:cat>
            <c:numRef>
              <c:f>TotaalOverzicht!$C$3:$AR$3</c:f>
              <c:numCache>
                <c:formatCode>m/d/yyyy</c:formatCode>
                <c:ptCount val="15"/>
                <c:pt idx="0">
                  <c:v>42552</c:v>
                </c:pt>
                <c:pt idx="1">
                  <c:v>42583</c:v>
                </c:pt>
                <c:pt idx="2">
                  <c:v>42614</c:v>
                </c:pt>
                <c:pt idx="3">
                  <c:v>42644</c:v>
                </c:pt>
                <c:pt idx="4">
                  <c:v>42675</c:v>
                </c:pt>
                <c:pt idx="5">
                  <c:v>42705</c:v>
                </c:pt>
                <c:pt idx="6">
                  <c:v>42736</c:v>
                </c:pt>
                <c:pt idx="7">
                  <c:v>42767</c:v>
                </c:pt>
                <c:pt idx="8">
                  <c:v>42795</c:v>
                </c:pt>
                <c:pt idx="9">
                  <c:v>42826</c:v>
                </c:pt>
                <c:pt idx="10">
                  <c:v>42856</c:v>
                </c:pt>
                <c:pt idx="11">
                  <c:v>42887</c:v>
                </c:pt>
                <c:pt idx="12">
                  <c:v>42917</c:v>
                </c:pt>
              </c:numCache>
            </c:numRef>
          </c:cat>
          <c:val>
            <c:numRef>
              <c:f>TotaalOverzicht!$C$5:$AR$5</c:f>
              <c:numCache>
                <c:formatCode>#,##0</c:formatCode>
                <c:ptCount val="15"/>
                <c:pt idx="0">
                  <c:v>15747</c:v>
                </c:pt>
                <c:pt idx="1">
                  <c:v>15902</c:v>
                </c:pt>
                <c:pt idx="2">
                  <c:v>16563</c:v>
                </c:pt>
                <c:pt idx="3">
                  <c:v>16725</c:v>
                </c:pt>
                <c:pt idx="4">
                  <c:v>16803</c:v>
                </c:pt>
                <c:pt idx="5">
                  <c:v>17253</c:v>
                </c:pt>
                <c:pt idx="6">
                  <c:v>17807</c:v>
                </c:pt>
                <c:pt idx="7">
                  <c:v>18083</c:v>
                </c:pt>
                <c:pt idx="8">
                  <c:v>18207</c:v>
                </c:pt>
                <c:pt idx="9">
                  <c:v>18213</c:v>
                </c:pt>
                <c:pt idx="10">
                  <c:v>18213</c:v>
                </c:pt>
                <c:pt idx="11">
                  <c:v>18309</c:v>
                </c:pt>
                <c:pt idx="12">
                  <c:v>18350</c:v>
                </c:pt>
                <c:pt idx="13" formatCode="General">
                  <c:v>0</c:v>
                </c:pt>
              </c:numCache>
            </c:numRef>
          </c:val>
          <c:smooth val="0"/>
          <c:extLst>
            <c:ext xmlns:c16="http://schemas.microsoft.com/office/drawing/2014/chart" uri="{C3380CC4-5D6E-409C-BE32-E72D297353CC}">
              <c16:uniqueId val="{00000001-51E1-498C-88FE-F1F8F12F3D08}"/>
            </c:ext>
          </c:extLst>
        </c:ser>
        <c:ser>
          <c:idx val="2"/>
          <c:order val="2"/>
          <c:tx>
            <c:strRef>
              <c:f>TotaalOverzicht!$B$6</c:f>
              <c:strCache>
                <c:ptCount val="1"/>
                <c:pt idx="0">
                  <c:v>Exxellence</c:v>
                </c:pt>
              </c:strCache>
            </c:strRef>
          </c:tx>
          <c:marker>
            <c:symbol val="none"/>
          </c:marker>
          <c:cat>
            <c:numRef>
              <c:f>TotaalOverzicht!$C$3:$AR$3</c:f>
              <c:numCache>
                <c:formatCode>m/d/yyyy</c:formatCode>
                <c:ptCount val="15"/>
                <c:pt idx="0">
                  <c:v>42552</c:v>
                </c:pt>
                <c:pt idx="1">
                  <c:v>42583</c:v>
                </c:pt>
                <c:pt idx="2">
                  <c:v>42614</c:v>
                </c:pt>
                <c:pt idx="3">
                  <c:v>42644</c:v>
                </c:pt>
                <c:pt idx="4">
                  <c:v>42675</c:v>
                </c:pt>
                <c:pt idx="5">
                  <c:v>42705</c:v>
                </c:pt>
                <c:pt idx="6">
                  <c:v>42736</c:v>
                </c:pt>
                <c:pt idx="7">
                  <c:v>42767</c:v>
                </c:pt>
                <c:pt idx="8">
                  <c:v>42795</c:v>
                </c:pt>
                <c:pt idx="9">
                  <c:v>42826</c:v>
                </c:pt>
                <c:pt idx="10">
                  <c:v>42856</c:v>
                </c:pt>
                <c:pt idx="11">
                  <c:v>42887</c:v>
                </c:pt>
                <c:pt idx="12">
                  <c:v>42917</c:v>
                </c:pt>
              </c:numCache>
            </c:numRef>
          </c:cat>
          <c:val>
            <c:numRef>
              <c:f>TotaalOverzicht!$C$6:$AR$6</c:f>
              <c:numCache>
                <c:formatCode>#,##0</c:formatCode>
                <c:ptCount val="15"/>
                <c:pt idx="0">
                  <c:v>1530</c:v>
                </c:pt>
                <c:pt idx="1">
                  <c:v>1530</c:v>
                </c:pt>
                <c:pt idx="2">
                  <c:v>1530</c:v>
                </c:pt>
                <c:pt idx="3">
                  <c:v>1530</c:v>
                </c:pt>
                <c:pt idx="4">
                  <c:v>1530</c:v>
                </c:pt>
                <c:pt idx="5">
                  <c:v>1530</c:v>
                </c:pt>
                <c:pt idx="6">
                  <c:v>1530</c:v>
                </c:pt>
                <c:pt idx="7">
                  <c:v>1530</c:v>
                </c:pt>
                <c:pt idx="8">
                  <c:v>1530</c:v>
                </c:pt>
                <c:pt idx="9">
                  <c:v>1530</c:v>
                </c:pt>
                <c:pt idx="10">
                  <c:v>1530</c:v>
                </c:pt>
                <c:pt idx="11">
                  <c:v>1530</c:v>
                </c:pt>
                <c:pt idx="12">
                  <c:v>1530</c:v>
                </c:pt>
                <c:pt idx="13" formatCode="General">
                  <c:v>0</c:v>
                </c:pt>
              </c:numCache>
            </c:numRef>
          </c:val>
          <c:smooth val="0"/>
          <c:extLst>
            <c:ext xmlns:c16="http://schemas.microsoft.com/office/drawing/2014/chart" uri="{C3380CC4-5D6E-409C-BE32-E72D297353CC}">
              <c16:uniqueId val="{00000002-51E1-498C-88FE-F1F8F12F3D08}"/>
            </c:ext>
          </c:extLst>
        </c:ser>
        <c:ser>
          <c:idx val="3"/>
          <c:order val="3"/>
          <c:tx>
            <c:strRef>
              <c:f>TotaalOverzicht!$B$7</c:f>
              <c:strCache>
                <c:ptCount val="1"/>
                <c:pt idx="0">
                  <c:v>PinkRoccade</c:v>
                </c:pt>
              </c:strCache>
            </c:strRef>
          </c:tx>
          <c:marker>
            <c:symbol val="none"/>
          </c:marker>
          <c:cat>
            <c:numRef>
              <c:f>TotaalOverzicht!$C$3:$AR$3</c:f>
              <c:numCache>
                <c:formatCode>m/d/yyyy</c:formatCode>
                <c:ptCount val="15"/>
                <c:pt idx="0">
                  <c:v>42552</c:v>
                </c:pt>
                <c:pt idx="1">
                  <c:v>42583</c:v>
                </c:pt>
                <c:pt idx="2">
                  <c:v>42614</c:v>
                </c:pt>
                <c:pt idx="3">
                  <c:v>42644</c:v>
                </c:pt>
                <c:pt idx="4">
                  <c:v>42675</c:v>
                </c:pt>
                <c:pt idx="5">
                  <c:v>42705</c:v>
                </c:pt>
                <c:pt idx="6">
                  <c:v>42736</c:v>
                </c:pt>
                <c:pt idx="7">
                  <c:v>42767</c:v>
                </c:pt>
                <c:pt idx="8">
                  <c:v>42795</c:v>
                </c:pt>
                <c:pt idx="9">
                  <c:v>42826</c:v>
                </c:pt>
                <c:pt idx="10">
                  <c:v>42856</c:v>
                </c:pt>
                <c:pt idx="11">
                  <c:v>42887</c:v>
                </c:pt>
                <c:pt idx="12">
                  <c:v>42917</c:v>
                </c:pt>
              </c:numCache>
            </c:numRef>
          </c:cat>
          <c:val>
            <c:numRef>
              <c:f>TotaalOverzicht!$C$7:$AR$7</c:f>
              <c:numCache>
                <c:formatCode>#,##0</c:formatCode>
                <c:ptCount val="15"/>
                <c:pt idx="0">
                  <c:v>33</c:v>
                </c:pt>
                <c:pt idx="1">
                  <c:v>33</c:v>
                </c:pt>
                <c:pt idx="2">
                  <c:v>53</c:v>
                </c:pt>
                <c:pt idx="3">
                  <c:v>588</c:v>
                </c:pt>
                <c:pt idx="4">
                  <c:v>1273</c:v>
                </c:pt>
                <c:pt idx="5">
                  <c:v>2026</c:v>
                </c:pt>
                <c:pt idx="6">
                  <c:v>2533</c:v>
                </c:pt>
                <c:pt idx="7">
                  <c:v>2610</c:v>
                </c:pt>
                <c:pt idx="8">
                  <c:v>2665</c:v>
                </c:pt>
                <c:pt idx="9">
                  <c:v>2665</c:v>
                </c:pt>
                <c:pt idx="10">
                  <c:v>2665</c:v>
                </c:pt>
                <c:pt idx="11">
                  <c:v>2665</c:v>
                </c:pt>
                <c:pt idx="12">
                  <c:v>2665</c:v>
                </c:pt>
                <c:pt idx="13" formatCode="General">
                  <c:v>0</c:v>
                </c:pt>
              </c:numCache>
            </c:numRef>
          </c:val>
          <c:smooth val="0"/>
          <c:extLst>
            <c:ext xmlns:c16="http://schemas.microsoft.com/office/drawing/2014/chart" uri="{C3380CC4-5D6E-409C-BE32-E72D297353CC}">
              <c16:uniqueId val="{00000003-51E1-498C-88FE-F1F8F12F3D08}"/>
            </c:ext>
          </c:extLst>
        </c:ser>
        <c:ser>
          <c:idx val="4"/>
          <c:order val="4"/>
          <c:tx>
            <c:strRef>
              <c:f>TotaalOverzicht!$B$8</c:f>
              <c:strCache>
                <c:ptCount val="1"/>
                <c:pt idx="0">
                  <c:v>Procura</c:v>
                </c:pt>
              </c:strCache>
            </c:strRef>
          </c:tx>
          <c:marker>
            <c:symbol val="none"/>
          </c:marker>
          <c:cat>
            <c:numRef>
              <c:f>TotaalOverzicht!$C$3:$AR$3</c:f>
              <c:numCache>
                <c:formatCode>m/d/yyyy</c:formatCode>
                <c:ptCount val="15"/>
                <c:pt idx="0">
                  <c:v>42552</c:v>
                </c:pt>
                <c:pt idx="1">
                  <c:v>42583</c:v>
                </c:pt>
                <c:pt idx="2">
                  <c:v>42614</c:v>
                </c:pt>
                <c:pt idx="3">
                  <c:v>42644</c:v>
                </c:pt>
                <c:pt idx="4">
                  <c:v>42675</c:v>
                </c:pt>
                <c:pt idx="5">
                  <c:v>42705</c:v>
                </c:pt>
                <c:pt idx="6">
                  <c:v>42736</c:v>
                </c:pt>
                <c:pt idx="7">
                  <c:v>42767</c:v>
                </c:pt>
                <c:pt idx="8">
                  <c:v>42795</c:v>
                </c:pt>
                <c:pt idx="9">
                  <c:v>42826</c:v>
                </c:pt>
                <c:pt idx="10">
                  <c:v>42856</c:v>
                </c:pt>
                <c:pt idx="11">
                  <c:v>42887</c:v>
                </c:pt>
                <c:pt idx="12">
                  <c:v>42917</c:v>
                </c:pt>
              </c:numCache>
            </c:numRef>
          </c:cat>
          <c:val>
            <c:numRef>
              <c:f>TotaalOverzicht!$C$8:$AR$8</c:f>
              <c:numCache>
                <c:formatCode>#,##0</c:formatCode>
                <c:ptCount val="15"/>
                <c:pt idx="0">
                  <c:v>18</c:v>
                </c:pt>
                <c:pt idx="1">
                  <c:v>18</c:v>
                </c:pt>
                <c:pt idx="2">
                  <c:v>18</c:v>
                </c:pt>
                <c:pt idx="3">
                  <c:v>18</c:v>
                </c:pt>
                <c:pt idx="4">
                  <c:v>18</c:v>
                </c:pt>
                <c:pt idx="5">
                  <c:v>18</c:v>
                </c:pt>
                <c:pt idx="6">
                  <c:v>18</c:v>
                </c:pt>
                <c:pt idx="7">
                  <c:v>18</c:v>
                </c:pt>
                <c:pt idx="8">
                  <c:v>18</c:v>
                </c:pt>
                <c:pt idx="9">
                  <c:v>18</c:v>
                </c:pt>
                <c:pt idx="10">
                  <c:v>55</c:v>
                </c:pt>
                <c:pt idx="11">
                  <c:v>654</c:v>
                </c:pt>
                <c:pt idx="12">
                  <c:v>734</c:v>
                </c:pt>
                <c:pt idx="13" formatCode="General">
                  <c:v>0</c:v>
                </c:pt>
              </c:numCache>
            </c:numRef>
          </c:val>
          <c:smooth val="0"/>
          <c:extLst>
            <c:ext xmlns:c16="http://schemas.microsoft.com/office/drawing/2014/chart" uri="{C3380CC4-5D6E-409C-BE32-E72D297353CC}">
              <c16:uniqueId val="{00000004-51E1-498C-88FE-F1F8F12F3D08}"/>
            </c:ext>
          </c:extLst>
        </c:ser>
        <c:ser>
          <c:idx val="5"/>
          <c:order val="5"/>
          <c:tx>
            <c:strRef>
              <c:f>TotaalOverzicht!$B$9</c:f>
              <c:strCache>
                <c:ptCount val="1"/>
                <c:pt idx="0">
                  <c:v>T&amp;T</c:v>
                </c:pt>
              </c:strCache>
            </c:strRef>
          </c:tx>
          <c:marker>
            <c:symbol val="none"/>
          </c:marker>
          <c:cat>
            <c:numRef>
              <c:f>TotaalOverzicht!$C$3:$AR$3</c:f>
              <c:numCache>
                <c:formatCode>m/d/yyyy</c:formatCode>
                <c:ptCount val="15"/>
                <c:pt idx="0">
                  <c:v>42552</c:v>
                </c:pt>
                <c:pt idx="1">
                  <c:v>42583</c:v>
                </c:pt>
                <c:pt idx="2">
                  <c:v>42614</c:v>
                </c:pt>
                <c:pt idx="3">
                  <c:v>42644</c:v>
                </c:pt>
                <c:pt idx="4">
                  <c:v>42675</c:v>
                </c:pt>
                <c:pt idx="5">
                  <c:v>42705</c:v>
                </c:pt>
                <c:pt idx="6">
                  <c:v>42736</c:v>
                </c:pt>
                <c:pt idx="7">
                  <c:v>42767</c:v>
                </c:pt>
                <c:pt idx="8">
                  <c:v>42795</c:v>
                </c:pt>
                <c:pt idx="9">
                  <c:v>42826</c:v>
                </c:pt>
                <c:pt idx="10">
                  <c:v>42856</c:v>
                </c:pt>
                <c:pt idx="11">
                  <c:v>42887</c:v>
                </c:pt>
                <c:pt idx="12">
                  <c:v>42917</c:v>
                </c:pt>
              </c:numCache>
            </c:numRef>
          </c:cat>
          <c:val>
            <c:numRef>
              <c:f>TotaalOverzicht!$C$9:$AR$9</c:f>
              <c:numCache>
                <c:formatCode>#,##0</c:formatCode>
                <c:ptCount val="15"/>
                <c:pt idx="0">
                  <c:v>10499</c:v>
                </c:pt>
                <c:pt idx="1">
                  <c:v>10986</c:v>
                </c:pt>
                <c:pt idx="2">
                  <c:v>11417</c:v>
                </c:pt>
                <c:pt idx="3">
                  <c:v>11710</c:v>
                </c:pt>
                <c:pt idx="4">
                  <c:v>12443</c:v>
                </c:pt>
                <c:pt idx="5">
                  <c:v>14412</c:v>
                </c:pt>
                <c:pt idx="6">
                  <c:v>15324</c:v>
                </c:pt>
                <c:pt idx="7">
                  <c:v>15729</c:v>
                </c:pt>
                <c:pt idx="8">
                  <c:v>16092</c:v>
                </c:pt>
                <c:pt idx="9">
                  <c:v>16719</c:v>
                </c:pt>
                <c:pt idx="10">
                  <c:v>17756</c:v>
                </c:pt>
                <c:pt idx="11">
                  <c:v>18585</c:v>
                </c:pt>
                <c:pt idx="12">
                  <c:v>19041</c:v>
                </c:pt>
                <c:pt idx="13" formatCode="General">
                  <c:v>0</c:v>
                </c:pt>
              </c:numCache>
            </c:numRef>
          </c:val>
          <c:smooth val="0"/>
          <c:extLst>
            <c:ext xmlns:c16="http://schemas.microsoft.com/office/drawing/2014/chart" uri="{C3380CC4-5D6E-409C-BE32-E72D297353CC}">
              <c16:uniqueId val="{00000005-51E1-498C-88FE-F1F8F12F3D08}"/>
            </c:ext>
          </c:extLst>
        </c:ser>
        <c:ser>
          <c:idx val="6"/>
          <c:order val="6"/>
          <c:tx>
            <c:strRef>
              <c:f>TotaalOverzicht!$B$10</c:f>
              <c:strCache>
                <c:ptCount val="1"/>
                <c:pt idx="0">
                  <c:v>Operatie BRP</c:v>
                </c:pt>
              </c:strCache>
            </c:strRef>
          </c:tx>
          <c:marker>
            <c:symbol val="none"/>
          </c:marker>
          <c:cat>
            <c:numRef>
              <c:f>TotaalOverzicht!$C$3:$AR$3</c:f>
              <c:numCache>
                <c:formatCode>m/d/yyyy</c:formatCode>
                <c:ptCount val="15"/>
                <c:pt idx="0">
                  <c:v>42552</c:v>
                </c:pt>
                <c:pt idx="1">
                  <c:v>42583</c:v>
                </c:pt>
                <c:pt idx="2">
                  <c:v>42614</c:v>
                </c:pt>
                <c:pt idx="3">
                  <c:v>42644</c:v>
                </c:pt>
                <c:pt idx="4">
                  <c:v>42675</c:v>
                </c:pt>
                <c:pt idx="5">
                  <c:v>42705</c:v>
                </c:pt>
                <c:pt idx="6">
                  <c:v>42736</c:v>
                </c:pt>
                <c:pt idx="7">
                  <c:v>42767</c:v>
                </c:pt>
                <c:pt idx="8">
                  <c:v>42795</c:v>
                </c:pt>
                <c:pt idx="9">
                  <c:v>42826</c:v>
                </c:pt>
                <c:pt idx="10">
                  <c:v>42856</c:v>
                </c:pt>
                <c:pt idx="11">
                  <c:v>42887</c:v>
                </c:pt>
                <c:pt idx="12">
                  <c:v>42917</c:v>
                </c:pt>
              </c:numCache>
            </c:numRef>
          </c:cat>
          <c:val>
            <c:numRef>
              <c:f>TotaalOverzicht!$C$10:$AR$10</c:f>
              <c:numCache>
                <c:formatCode>#,##0</c:formatCode>
                <c:ptCount val="15"/>
                <c:pt idx="0">
                  <c:v>222</c:v>
                </c:pt>
                <c:pt idx="1">
                  <c:v>273</c:v>
                </c:pt>
                <c:pt idx="2">
                  <c:v>317</c:v>
                </c:pt>
                <c:pt idx="3">
                  <c:v>349</c:v>
                </c:pt>
                <c:pt idx="4">
                  <c:v>412</c:v>
                </c:pt>
                <c:pt idx="5">
                  <c:v>431</c:v>
                </c:pt>
                <c:pt idx="6">
                  <c:v>438</c:v>
                </c:pt>
                <c:pt idx="7">
                  <c:v>438</c:v>
                </c:pt>
                <c:pt idx="8">
                  <c:v>530</c:v>
                </c:pt>
                <c:pt idx="9">
                  <c:v>621</c:v>
                </c:pt>
                <c:pt idx="10">
                  <c:v>679</c:v>
                </c:pt>
                <c:pt idx="11">
                  <c:v>866</c:v>
                </c:pt>
                <c:pt idx="12">
                  <c:v>1458</c:v>
                </c:pt>
                <c:pt idx="13" formatCode="General">
                  <c:v>0</c:v>
                </c:pt>
              </c:numCache>
            </c:numRef>
          </c:val>
          <c:smooth val="0"/>
          <c:extLst>
            <c:ext xmlns:c16="http://schemas.microsoft.com/office/drawing/2014/chart" uri="{C3380CC4-5D6E-409C-BE32-E72D297353CC}">
              <c16:uniqueId val="{00000006-51E1-498C-88FE-F1F8F12F3D08}"/>
            </c:ext>
          </c:extLst>
        </c:ser>
        <c:dLbls>
          <c:showLegendKey val="0"/>
          <c:showVal val="0"/>
          <c:showCatName val="0"/>
          <c:showSerName val="0"/>
          <c:showPercent val="0"/>
          <c:showBubbleSize val="0"/>
        </c:dLbls>
        <c:smooth val="0"/>
        <c:axId val="33889512"/>
        <c:axId val="33891864"/>
      </c:lineChart>
      <c:dateAx>
        <c:axId val="33889512"/>
        <c:scaling>
          <c:orientation val="minMax"/>
        </c:scaling>
        <c:delete val="0"/>
        <c:axPos val="b"/>
        <c:numFmt formatCode="m/d/yyyy" sourceLinked="1"/>
        <c:majorTickMark val="none"/>
        <c:minorTickMark val="none"/>
        <c:tickLblPos val="nextTo"/>
        <c:crossAx val="33891864"/>
        <c:crosses val="autoZero"/>
        <c:auto val="1"/>
        <c:lblOffset val="100"/>
        <c:baseTimeUnit val="months"/>
      </c:dateAx>
      <c:valAx>
        <c:axId val="33891864"/>
        <c:scaling>
          <c:orientation val="minMax"/>
        </c:scaling>
        <c:delete val="0"/>
        <c:axPos val="l"/>
        <c:majorGridlines/>
        <c:title>
          <c:tx>
            <c:rich>
              <a:bodyPr/>
              <a:lstStyle/>
              <a:p>
                <a:pPr>
                  <a:defRPr/>
                </a:pPr>
                <a:r>
                  <a:rPr lang="en-US"/>
                  <a:t>Aantal</a:t>
                </a:r>
                <a:r>
                  <a:rPr lang="en-US" baseline="0"/>
                  <a:t> berichten</a:t>
                </a:r>
                <a:endParaRPr lang="en-US"/>
              </a:p>
            </c:rich>
          </c:tx>
          <c:overlay val="0"/>
        </c:title>
        <c:numFmt formatCode="#,##0" sourceLinked="1"/>
        <c:majorTickMark val="none"/>
        <c:minorTickMark val="none"/>
        <c:tickLblPos val="nextTo"/>
        <c:crossAx val="33889512"/>
        <c:crosses val="autoZero"/>
        <c:crossBetween val="between"/>
      </c:valAx>
    </c:plotArea>
    <c:legend>
      <c:legendPos val="r"/>
      <c:overlay val="0"/>
    </c:legend>
    <c:plotVisOnly val="1"/>
    <c:dispBlanksAs val="gap"/>
    <c:showDLblsOverMax val="0"/>
  </c:chart>
  <c:printSettings>
    <c:headerFooter/>
    <c:pageMargins b="0.75" l="0.7" r="0.7" t="0.75" header="0.3" footer="0.3"/>
    <c:pageSetup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baseline="0"/>
              <a:t>Bevraging vs. Bijhouding vs. Synchronisatie</a:t>
            </a:r>
          </a:p>
          <a:p>
            <a:pPr>
              <a:defRPr/>
            </a:pPr>
            <a:r>
              <a:rPr lang="en-US" sz="1400" b="1" i="0" u="none" strike="noStrike" kern="1200" baseline="0">
                <a:solidFill>
                  <a:sysClr val="windowText" lastClr="000000"/>
                </a:solidFill>
                <a:latin typeface="+mn-lt"/>
                <a:ea typeface="+mn-ea"/>
                <a:cs typeface="+mn-cs"/>
              </a:rPr>
              <a:t>ProeftuinTussen (R22 - Guus)</a:t>
            </a:r>
          </a:p>
          <a:p>
            <a:pPr>
              <a:defRPr/>
            </a:pPr>
            <a:r>
              <a:rPr lang="en-US" sz="1400" b="1" i="0" u="none" strike="noStrike" kern="1200" baseline="0">
                <a:solidFill>
                  <a:sysClr val="windowText" lastClr="000000"/>
                </a:solidFill>
                <a:latin typeface="+mn-lt"/>
                <a:ea typeface="+mn-ea"/>
                <a:cs typeface="+mn-cs"/>
              </a:rPr>
              <a:t>ProeftuinRechts (R21-Frederique), </a:t>
            </a:r>
          </a:p>
          <a:p>
            <a:pPr>
              <a:defRPr/>
            </a:pPr>
            <a:r>
              <a:rPr lang="en-US" sz="1400" baseline="0"/>
              <a:t>ProeftuinTribune (R20-Emma),</a:t>
            </a:r>
          </a:p>
          <a:p>
            <a:pPr>
              <a:defRPr/>
            </a:pPr>
            <a:r>
              <a:rPr lang="en-US" sz="1400" baseline="0"/>
              <a:t>ProeftuinLinks (R19-Bernadette) </a:t>
            </a:r>
            <a:endParaRPr lang="nl-NL" sz="1400" b="1" i="0" u="none" strike="noStrike" baseline="0">
              <a:effectLst/>
            </a:endParaRPr>
          </a:p>
          <a:p>
            <a:pPr>
              <a:defRPr/>
            </a:pPr>
            <a:r>
              <a:rPr lang="nl-NL" sz="1200" b="1" i="0" u="none" strike="noStrike" baseline="0">
                <a:effectLst/>
              </a:rPr>
              <a:t>- aantal berichten 01-07-2017 -</a:t>
            </a:r>
            <a:endParaRPr lang="en-US" sz="1200"/>
          </a:p>
        </c:rich>
      </c:tx>
      <c:overlay val="0"/>
    </c:title>
    <c:autoTitleDeleted val="0"/>
    <c:plotArea>
      <c:layout/>
      <c:barChart>
        <c:barDir val="col"/>
        <c:grouping val="stacked"/>
        <c:varyColors val="0"/>
        <c:ser>
          <c:idx val="1"/>
          <c:order val="0"/>
          <c:tx>
            <c:v>Bevraging</c:v>
          </c:tx>
          <c:invertIfNegative val="0"/>
          <c:cat>
            <c:numRef>
              <c:f>TotaalOverzicht!$C$3:$AR$3</c:f>
              <c:numCache>
                <c:formatCode>m/d/yyyy</c:formatCode>
                <c:ptCount val="15"/>
                <c:pt idx="0">
                  <c:v>42552</c:v>
                </c:pt>
                <c:pt idx="1">
                  <c:v>42583</c:v>
                </c:pt>
                <c:pt idx="2">
                  <c:v>42614</c:v>
                </c:pt>
                <c:pt idx="3">
                  <c:v>42644</c:v>
                </c:pt>
                <c:pt idx="4">
                  <c:v>42675</c:v>
                </c:pt>
                <c:pt idx="5">
                  <c:v>42705</c:v>
                </c:pt>
                <c:pt idx="6">
                  <c:v>42736</c:v>
                </c:pt>
                <c:pt idx="7">
                  <c:v>42767</c:v>
                </c:pt>
                <c:pt idx="8">
                  <c:v>42795</c:v>
                </c:pt>
                <c:pt idx="9">
                  <c:v>42826</c:v>
                </c:pt>
                <c:pt idx="10">
                  <c:v>42856</c:v>
                </c:pt>
                <c:pt idx="11">
                  <c:v>42887</c:v>
                </c:pt>
                <c:pt idx="12">
                  <c:v>42917</c:v>
                </c:pt>
              </c:numCache>
            </c:numRef>
          </c:cat>
          <c:val>
            <c:numRef>
              <c:f>TotaalOverzicht!$C$14:$AR$14</c:f>
              <c:numCache>
                <c:formatCode>#,##0</c:formatCode>
                <c:ptCount val="15"/>
                <c:pt idx="0">
                  <c:v>29535</c:v>
                </c:pt>
                <c:pt idx="1">
                  <c:v>31191</c:v>
                </c:pt>
                <c:pt idx="2">
                  <c:v>33390</c:v>
                </c:pt>
                <c:pt idx="3">
                  <c:v>35120</c:v>
                </c:pt>
                <c:pt idx="4">
                  <c:v>36789</c:v>
                </c:pt>
                <c:pt idx="5">
                  <c:v>40757</c:v>
                </c:pt>
                <c:pt idx="6">
                  <c:v>43093</c:v>
                </c:pt>
                <c:pt idx="7">
                  <c:v>43847</c:v>
                </c:pt>
                <c:pt idx="8">
                  <c:v>44464</c:v>
                </c:pt>
                <c:pt idx="9">
                  <c:v>45186</c:v>
                </c:pt>
                <c:pt idx="10">
                  <c:v>46310</c:v>
                </c:pt>
                <c:pt idx="11">
                  <c:v>48013</c:v>
                </c:pt>
                <c:pt idx="12">
                  <c:v>49261</c:v>
                </c:pt>
              </c:numCache>
            </c:numRef>
          </c:val>
          <c:extLst>
            <c:ext xmlns:c16="http://schemas.microsoft.com/office/drawing/2014/chart" uri="{C3380CC4-5D6E-409C-BE32-E72D297353CC}">
              <c16:uniqueId val="{00000000-285F-44CF-9475-7BC668F9CDC6}"/>
            </c:ext>
          </c:extLst>
        </c:ser>
        <c:ser>
          <c:idx val="0"/>
          <c:order val="1"/>
          <c:tx>
            <c:v>Bijhouding</c:v>
          </c:tx>
          <c:invertIfNegative val="0"/>
          <c:cat>
            <c:numRef>
              <c:f>TotaalOverzicht!$C$3:$AR$3</c:f>
              <c:numCache>
                <c:formatCode>m/d/yyyy</c:formatCode>
                <c:ptCount val="15"/>
                <c:pt idx="0">
                  <c:v>42552</c:v>
                </c:pt>
                <c:pt idx="1">
                  <c:v>42583</c:v>
                </c:pt>
                <c:pt idx="2">
                  <c:v>42614</c:v>
                </c:pt>
                <c:pt idx="3">
                  <c:v>42644</c:v>
                </c:pt>
                <c:pt idx="4">
                  <c:v>42675</c:v>
                </c:pt>
                <c:pt idx="5">
                  <c:v>42705</c:v>
                </c:pt>
                <c:pt idx="6">
                  <c:v>42736</c:v>
                </c:pt>
                <c:pt idx="7">
                  <c:v>42767</c:v>
                </c:pt>
                <c:pt idx="8">
                  <c:v>42795</c:v>
                </c:pt>
                <c:pt idx="9">
                  <c:v>42826</c:v>
                </c:pt>
                <c:pt idx="10">
                  <c:v>42856</c:v>
                </c:pt>
                <c:pt idx="11">
                  <c:v>42887</c:v>
                </c:pt>
                <c:pt idx="12">
                  <c:v>42917</c:v>
                </c:pt>
              </c:numCache>
            </c:numRef>
          </c:cat>
          <c:val>
            <c:numRef>
              <c:f>TotaalOverzicht!$C$15:$AR$15</c:f>
              <c:numCache>
                <c:formatCode>#,##0</c:formatCode>
                <c:ptCount val="15"/>
                <c:pt idx="0">
                  <c:v>5051</c:v>
                </c:pt>
                <c:pt idx="1">
                  <c:v>5133</c:v>
                </c:pt>
                <c:pt idx="2">
                  <c:v>5401</c:v>
                </c:pt>
                <c:pt idx="3">
                  <c:v>5477</c:v>
                </c:pt>
                <c:pt idx="4">
                  <c:v>5662</c:v>
                </c:pt>
                <c:pt idx="5">
                  <c:v>5795</c:v>
                </c:pt>
                <c:pt idx="6">
                  <c:v>5958</c:v>
                </c:pt>
                <c:pt idx="7">
                  <c:v>5970</c:v>
                </c:pt>
                <c:pt idx="8">
                  <c:v>5993</c:v>
                </c:pt>
                <c:pt idx="9">
                  <c:v>5997</c:v>
                </c:pt>
                <c:pt idx="10">
                  <c:v>6005</c:v>
                </c:pt>
                <c:pt idx="11">
                  <c:v>6013</c:v>
                </c:pt>
                <c:pt idx="12">
                  <c:v>6013</c:v>
                </c:pt>
              </c:numCache>
            </c:numRef>
          </c:val>
          <c:extLst>
            <c:ext xmlns:c16="http://schemas.microsoft.com/office/drawing/2014/chart" uri="{C3380CC4-5D6E-409C-BE32-E72D297353CC}">
              <c16:uniqueId val="{00000001-285F-44CF-9475-7BC668F9CDC6}"/>
            </c:ext>
          </c:extLst>
        </c:ser>
        <c:ser>
          <c:idx val="3"/>
          <c:order val="2"/>
          <c:tx>
            <c:v>BijhNotificatie</c:v>
          </c:tx>
          <c:invertIfNegative val="0"/>
          <c:cat>
            <c:numRef>
              <c:f>TotaalOverzicht!$C$3:$AR$3</c:f>
              <c:numCache>
                <c:formatCode>m/d/yyyy</c:formatCode>
                <c:ptCount val="15"/>
                <c:pt idx="0">
                  <c:v>42552</c:v>
                </c:pt>
                <c:pt idx="1">
                  <c:v>42583</c:v>
                </c:pt>
                <c:pt idx="2">
                  <c:v>42614</c:v>
                </c:pt>
                <c:pt idx="3">
                  <c:v>42644</c:v>
                </c:pt>
                <c:pt idx="4">
                  <c:v>42675</c:v>
                </c:pt>
                <c:pt idx="5">
                  <c:v>42705</c:v>
                </c:pt>
                <c:pt idx="6">
                  <c:v>42736</c:v>
                </c:pt>
                <c:pt idx="7">
                  <c:v>42767</c:v>
                </c:pt>
                <c:pt idx="8">
                  <c:v>42795</c:v>
                </c:pt>
                <c:pt idx="9">
                  <c:v>42826</c:v>
                </c:pt>
                <c:pt idx="10">
                  <c:v>42856</c:v>
                </c:pt>
                <c:pt idx="11">
                  <c:v>42887</c:v>
                </c:pt>
                <c:pt idx="12">
                  <c:v>42917</c:v>
                </c:pt>
              </c:numCache>
            </c:numRef>
          </c:cat>
          <c:val>
            <c:numRef>
              <c:f>TotaalOverzicht!$C$16:$AR$16</c:f>
              <c:numCache>
                <c:formatCode>#,##0</c:formatCode>
                <c:ptCount val="15"/>
                <c:pt idx="0">
                  <c:v>0</c:v>
                </c:pt>
                <c:pt idx="1">
                  <c:v>0</c:v>
                </c:pt>
                <c:pt idx="2">
                  <c:v>0</c:v>
                </c:pt>
                <c:pt idx="3">
                  <c:v>0</c:v>
                </c:pt>
                <c:pt idx="4">
                  <c:v>11</c:v>
                </c:pt>
                <c:pt idx="5">
                  <c:v>51</c:v>
                </c:pt>
                <c:pt idx="6">
                  <c:v>68</c:v>
                </c:pt>
                <c:pt idx="7">
                  <c:v>76</c:v>
                </c:pt>
                <c:pt idx="8">
                  <c:v>78</c:v>
                </c:pt>
                <c:pt idx="9">
                  <c:v>78</c:v>
                </c:pt>
                <c:pt idx="10">
                  <c:v>78</c:v>
                </c:pt>
                <c:pt idx="11">
                  <c:v>79</c:v>
                </c:pt>
                <c:pt idx="12">
                  <c:v>79</c:v>
                </c:pt>
              </c:numCache>
            </c:numRef>
          </c:val>
          <c:extLst>
            <c:ext xmlns:c16="http://schemas.microsoft.com/office/drawing/2014/chart" uri="{C3380CC4-5D6E-409C-BE32-E72D297353CC}">
              <c16:uniqueId val="{00000002-285F-44CF-9475-7BC668F9CDC6}"/>
            </c:ext>
          </c:extLst>
        </c:ser>
        <c:ser>
          <c:idx val="2"/>
          <c:order val="3"/>
          <c:tx>
            <c:v>Synchronisatie</c:v>
          </c:tx>
          <c:invertIfNegative val="0"/>
          <c:cat>
            <c:numRef>
              <c:f>TotaalOverzicht!$C$3:$AR$3</c:f>
              <c:numCache>
                <c:formatCode>m/d/yyyy</c:formatCode>
                <c:ptCount val="15"/>
                <c:pt idx="0">
                  <c:v>42552</c:v>
                </c:pt>
                <c:pt idx="1">
                  <c:v>42583</c:v>
                </c:pt>
                <c:pt idx="2">
                  <c:v>42614</c:v>
                </c:pt>
                <c:pt idx="3">
                  <c:v>42644</c:v>
                </c:pt>
                <c:pt idx="4">
                  <c:v>42675</c:v>
                </c:pt>
                <c:pt idx="5">
                  <c:v>42705</c:v>
                </c:pt>
                <c:pt idx="6">
                  <c:v>42736</c:v>
                </c:pt>
                <c:pt idx="7">
                  <c:v>42767</c:v>
                </c:pt>
                <c:pt idx="8">
                  <c:v>42795</c:v>
                </c:pt>
                <c:pt idx="9">
                  <c:v>42826</c:v>
                </c:pt>
                <c:pt idx="10">
                  <c:v>42856</c:v>
                </c:pt>
                <c:pt idx="11">
                  <c:v>42887</c:v>
                </c:pt>
                <c:pt idx="12">
                  <c:v>42917</c:v>
                </c:pt>
              </c:numCache>
            </c:numRef>
          </c:cat>
          <c:val>
            <c:numRef>
              <c:f>TotaalOverzicht!$C$17:$AR$17</c:f>
              <c:numCache>
                <c:formatCode>#,##0</c:formatCode>
                <c:ptCount val="15"/>
                <c:pt idx="0">
                  <c:v>23317</c:v>
                </c:pt>
                <c:pt idx="1">
                  <c:v>23996</c:v>
                </c:pt>
                <c:pt idx="2">
                  <c:v>25347</c:v>
                </c:pt>
                <c:pt idx="3">
                  <c:v>27249</c:v>
                </c:pt>
                <c:pt idx="4">
                  <c:v>27789</c:v>
                </c:pt>
                <c:pt idx="5">
                  <c:v>30140</c:v>
                </c:pt>
                <c:pt idx="6">
                  <c:v>31038</c:v>
                </c:pt>
                <c:pt idx="7">
                  <c:v>31172</c:v>
                </c:pt>
                <c:pt idx="8">
                  <c:v>31308</c:v>
                </c:pt>
                <c:pt idx="9">
                  <c:v>31690</c:v>
                </c:pt>
                <c:pt idx="10">
                  <c:v>31728</c:v>
                </c:pt>
                <c:pt idx="11">
                  <c:v>31840</c:v>
                </c:pt>
                <c:pt idx="12">
                  <c:v>31899</c:v>
                </c:pt>
              </c:numCache>
            </c:numRef>
          </c:val>
          <c:extLst>
            <c:ext xmlns:c16="http://schemas.microsoft.com/office/drawing/2014/chart" uri="{C3380CC4-5D6E-409C-BE32-E72D297353CC}">
              <c16:uniqueId val="{00000003-285F-44CF-9475-7BC668F9CDC6}"/>
            </c:ext>
          </c:extLst>
        </c:ser>
        <c:dLbls>
          <c:showLegendKey val="0"/>
          <c:showVal val="0"/>
          <c:showCatName val="0"/>
          <c:showSerName val="0"/>
          <c:showPercent val="0"/>
          <c:showBubbleSize val="0"/>
        </c:dLbls>
        <c:gapWidth val="150"/>
        <c:overlap val="100"/>
        <c:axId val="33890296"/>
        <c:axId val="33892648"/>
      </c:barChart>
      <c:dateAx>
        <c:axId val="33890296"/>
        <c:scaling>
          <c:orientation val="minMax"/>
        </c:scaling>
        <c:delete val="0"/>
        <c:axPos val="b"/>
        <c:numFmt formatCode="m/d/yyyy" sourceLinked="1"/>
        <c:majorTickMark val="out"/>
        <c:minorTickMark val="none"/>
        <c:tickLblPos val="nextTo"/>
        <c:crossAx val="33892648"/>
        <c:crosses val="autoZero"/>
        <c:auto val="1"/>
        <c:lblOffset val="100"/>
        <c:baseTimeUnit val="months"/>
      </c:dateAx>
      <c:valAx>
        <c:axId val="33892648"/>
        <c:scaling>
          <c:orientation val="minMax"/>
        </c:scaling>
        <c:delete val="0"/>
        <c:axPos val="l"/>
        <c:majorGridlines/>
        <c:numFmt formatCode="#,##0" sourceLinked="1"/>
        <c:majorTickMark val="out"/>
        <c:minorTickMark val="none"/>
        <c:tickLblPos val="nextTo"/>
        <c:crossAx val="33890296"/>
        <c:crosses val="autoZero"/>
        <c:crossBetween val="between"/>
      </c:valAx>
    </c:plotArea>
    <c:legend>
      <c:legendPos val="r"/>
      <c:overlay val="0"/>
    </c:legend>
    <c:plotVisOnly val="1"/>
    <c:dispBlanksAs val="gap"/>
    <c:showDLblsOverMax val="0"/>
  </c:chart>
  <c:printSettings>
    <c:headerFooter/>
    <c:pageMargins b="0.75" l="0.7" r="0.7" t="0.75" header="0.3" footer="0.3"/>
    <c:pageSetup orientation="landscape"/>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167640</xdr:colOff>
      <xdr:row>1</xdr:row>
      <xdr:rowOff>40004</xdr:rowOff>
    </xdr:from>
    <xdr:to>
      <xdr:col>9</xdr:col>
      <xdr:colOff>472440</xdr:colOff>
      <xdr:row>22</xdr:row>
      <xdr:rowOff>121920</xdr:rowOff>
    </xdr:to>
    <xdr:graphicFrame macro="">
      <xdr:nvGraphicFramePr>
        <xdr:cNvPr id="2" name="Chart 1">
          <a:extLst>
            <a:ext uri="{FF2B5EF4-FFF2-40B4-BE49-F238E27FC236}">
              <a16:creationId xmlns:a16="http://schemas.microsoft.com/office/drawing/2014/main" id="{00000000-0008-0000-0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190500</xdr:colOff>
      <xdr:row>24</xdr:row>
      <xdr:rowOff>30480</xdr:rowOff>
    </xdr:from>
    <xdr:to>
      <xdr:col>9</xdr:col>
      <xdr:colOff>495300</xdr:colOff>
      <xdr:row>45</xdr:row>
      <xdr:rowOff>144780</xdr:rowOff>
    </xdr:to>
    <xdr:graphicFrame macro="">
      <xdr:nvGraphicFramePr>
        <xdr:cNvPr id="3" name="Chart 2">
          <a:extLst>
            <a:ext uri="{FF2B5EF4-FFF2-40B4-BE49-F238E27FC236}">
              <a16:creationId xmlns:a16="http://schemas.microsoft.com/office/drawing/2014/main" id="{00000000-0008-0000-01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Kantoorthema">
  <a:themeElements>
    <a:clrScheme name="Kantoor">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Kantoor">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Kantoor">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Y41"/>
  <sheetViews>
    <sheetView tabSelected="1" zoomScale="75" zoomScaleNormal="75" workbookViewId="0"/>
  </sheetViews>
  <sheetFormatPr defaultRowHeight="15" x14ac:dyDescent="0.25"/>
  <cols>
    <col min="1" max="1" width="3.5703125" style="2" customWidth="1"/>
    <col min="2" max="2" width="27.7109375" bestFit="1" customWidth="1"/>
    <col min="3" max="16" width="10.28515625" style="1" hidden="1" customWidth="1"/>
    <col min="17" max="25" width="11.42578125" style="1" hidden="1" customWidth="1"/>
    <col min="26" max="29" width="17.7109375" style="1" hidden="1" customWidth="1"/>
    <col min="30" max="37" width="17.7109375" style="1" customWidth="1"/>
    <col min="38" max="42" width="19.140625" style="1" bestFit="1" customWidth="1"/>
    <col min="43" max="43" width="75.7109375" customWidth="1"/>
    <col min="46" max="46" width="8.85546875" customWidth="1"/>
  </cols>
  <sheetData>
    <row r="1" spans="1:51" ht="16.899999999999999" customHeight="1" x14ac:dyDescent="0.25">
      <c r="A1" s="3"/>
      <c r="B1" s="21"/>
      <c r="C1" s="5" t="s">
        <v>0</v>
      </c>
      <c r="D1" s="5" t="s">
        <v>0</v>
      </c>
      <c r="E1" s="5" t="s">
        <v>0</v>
      </c>
      <c r="F1" s="5" t="s">
        <v>0</v>
      </c>
      <c r="G1" s="5" t="s">
        <v>0</v>
      </c>
      <c r="H1" s="5" t="s">
        <v>0</v>
      </c>
      <c r="I1" s="5" t="s">
        <v>0</v>
      </c>
      <c r="J1" s="5" t="s">
        <v>0</v>
      </c>
      <c r="K1" s="5" t="s">
        <v>0</v>
      </c>
      <c r="L1" s="5" t="s">
        <v>0</v>
      </c>
      <c r="M1" s="61" t="s">
        <v>46</v>
      </c>
      <c r="N1" s="139" t="s">
        <v>46</v>
      </c>
      <c r="O1" s="141" t="s">
        <v>46</v>
      </c>
      <c r="P1" s="141" t="s">
        <v>46</v>
      </c>
      <c r="Q1" s="141" t="s">
        <v>46</v>
      </c>
      <c r="R1" s="141" t="s">
        <v>46</v>
      </c>
      <c r="S1" s="141" t="s">
        <v>46</v>
      </c>
      <c r="T1" s="141" t="s">
        <v>46</v>
      </c>
      <c r="U1" s="141" t="s">
        <v>46</v>
      </c>
      <c r="V1" s="141" t="s">
        <v>46</v>
      </c>
      <c r="W1" s="141" t="s">
        <v>46</v>
      </c>
      <c r="X1" s="141" t="s">
        <v>46</v>
      </c>
      <c r="Y1" s="141" t="s">
        <v>46</v>
      </c>
      <c r="Z1" s="140" t="s">
        <v>222</v>
      </c>
      <c r="AA1" s="140" t="s">
        <v>222</v>
      </c>
      <c r="AB1" s="140" t="s">
        <v>222</v>
      </c>
      <c r="AC1" s="140" t="s">
        <v>222</v>
      </c>
      <c r="AD1" s="140" t="s">
        <v>223</v>
      </c>
      <c r="AE1" s="140" t="s">
        <v>223</v>
      </c>
      <c r="AF1" s="140" t="s">
        <v>223</v>
      </c>
      <c r="AG1" s="140" t="s">
        <v>222</v>
      </c>
      <c r="AH1" s="140" t="s">
        <v>222</v>
      </c>
      <c r="AI1" s="140" t="s">
        <v>221</v>
      </c>
      <c r="AJ1" s="140" t="s">
        <v>221</v>
      </c>
      <c r="AK1" s="140" t="s">
        <v>221</v>
      </c>
      <c r="AL1" s="140" t="s">
        <v>220</v>
      </c>
      <c r="AM1" s="140" t="s">
        <v>236</v>
      </c>
      <c r="AN1" s="140" t="s">
        <v>236</v>
      </c>
      <c r="AO1" s="140" t="s">
        <v>247</v>
      </c>
      <c r="AP1" s="140" t="s">
        <v>247</v>
      </c>
      <c r="AQ1" s="4"/>
    </row>
    <row r="2" spans="1:51" s="19" customFormat="1" ht="29.45" customHeight="1" x14ac:dyDescent="0.3">
      <c r="A2" s="234" t="s">
        <v>6</v>
      </c>
      <c r="B2" s="22"/>
      <c r="C2" s="20" t="s">
        <v>25</v>
      </c>
      <c r="D2" s="20" t="s">
        <v>8</v>
      </c>
      <c r="E2" s="20" t="s">
        <v>18</v>
      </c>
      <c r="F2" s="20" t="s">
        <v>19</v>
      </c>
      <c r="G2" s="20" t="s">
        <v>34</v>
      </c>
      <c r="H2" s="20" t="s">
        <v>36</v>
      </c>
      <c r="I2" s="20" t="s">
        <v>38</v>
      </c>
      <c r="J2" s="20" t="s">
        <v>40</v>
      </c>
      <c r="K2" s="20" t="s">
        <v>44</v>
      </c>
      <c r="L2" s="20" t="s">
        <v>45</v>
      </c>
      <c r="M2" s="62" t="s">
        <v>47</v>
      </c>
      <c r="N2" s="137" t="s">
        <v>54</v>
      </c>
      <c r="O2" s="142" t="s">
        <v>55</v>
      </c>
      <c r="P2" s="142" t="s">
        <v>57</v>
      </c>
      <c r="Q2" s="142" t="s">
        <v>63</v>
      </c>
      <c r="R2" s="142" t="s">
        <v>64</v>
      </c>
      <c r="S2" s="142" t="s">
        <v>65</v>
      </c>
      <c r="T2" s="142" t="s">
        <v>69</v>
      </c>
      <c r="U2" s="142" t="s">
        <v>70</v>
      </c>
      <c r="V2" s="142" t="s">
        <v>74</v>
      </c>
      <c r="W2" s="142" t="s">
        <v>75</v>
      </c>
      <c r="X2" s="142" t="s">
        <v>78</v>
      </c>
      <c r="Y2" s="142" t="s">
        <v>80</v>
      </c>
      <c r="Z2" s="142" t="s">
        <v>102</v>
      </c>
      <c r="AA2" s="138" t="s">
        <v>110</v>
      </c>
      <c r="AB2" s="138" t="s">
        <v>115</v>
      </c>
      <c r="AC2" s="138" t="s">
        <v>119</v>
      </c>
      <c r="AD2" s="138" t="s">
        <v>120</v>
      </c>
      <c r="AE2" s="138" t="s">
        <v>143</v>
      </c>
      <c r="AF2" s="138" t="s">
        <v>144</v>
      </c>
      <c r="AG2" s="138" t="s">
        <v>176</v>
      </c>
      <c r="AH2" s="138" t="s">
        <v>194</v>
      </c>
      <c r="AI2" s="138" t="s">
        <v>204</v>
      </c>
      <c r="AJ2" s="138" t="s">
        <v>205</v>
      </c>
      <c r="AK2" s="138" t="s">
        <v>209</v>
      </c>
      <c r="AL2" s="138" t="s">
        <v>219</v>
      </c>
      <c r="AM2" s="138" t="s">
        <v>225</v>
      </c>
      <c r="AN2" s="138" t="s">
        <v>226</v>
      </c>
      <c r="AO2" s="138" t="s">
        <v>246</v>
      </c>
      <c r="AP2" s="138" t="s">
        <v>249</v>
      </c>
      <c r="AQ2" s="147" t="s">
        <v>5</v>
      </c>
    </row>
    <row r="3" spans="1:51" x14ac:dyDescent="0.25">
      <c r="A3" s="28"/>
      <c r="B3" s="29"/>
      <c r="C3" s="35">
        <v>41730</v>
      </c>
      <c r="D3" s="35">
        <v>41761</v>
      </c>
      <c r="E3" s="35">
        <v>41791</v>
      </c>
      <c r="F3" s="35">
        <v>41821</v>
      </c>
      <c r="G3" s="35">
        <v>41852</v>
      </c>
      <c r="H3" s="35">
        <v>41883</v>
      </c>
      <c r="I3" s="35">
        <v>41913</v>
      </c>
      <c r="J3" s="35">
        <v>41944</v>
      </c>
      <c r="K3" s="35">
        <v>41974</v>
      </c>
      <c r="L3" s="35">
        <v>42005</v>
      </c>
      <c r="M3" s="63">
        <v>42036</v>
      </c>
      <c r="N3" s="63">
        <v>42064</v>
      </c>
      <c r="O3" s="143">
        <v>42095</v>
      </c>
      <c r="P3" s="143">
        <v>42125</v>
      </c>
      <c r="Q3" s="143">
        <v>42156</v>
      </c>
      <c r="R3" s="143">
        <v>42186</v>
      </c>
      <c r="S3" s="143">
        <v>42217</v>
      </c>
      <c r="T3" s="143">
        <v>42248</v>
      </c>
      <c r="U3" s="143">
        <v>42278</v>
      </c>
      <c r="V3" s="143">
        <v>42309</v>
      </c>
      <c r="W3" s="143">
        <v>42339</v>
      </c>
      <c r="X3" s="143">
        <v>42370</v>
      </c>
      <c r="Y3" s="143">
        <v>42401</v>
      </c>
      <c r="Z3" s="143">
        <v>42430</v>
      </c>
      <c r="AA3" s="76">
        <v>42461</v>
      </c>
      <c r="AB3" s="76">
        <v>42491</v>
      </c>
      <c r="AC3" s="76">
        <v>42522</v>
      </c>
      <c r="AD3" s="76">
        <v>42552</v>
      </c>
      <c r="AE3" s="76">
        <v>42583</v>
      </c>
      <c r="AF3" s="76">
        <v>42614</v>
      </c>
      <c r="AG3" s="76">
        <v>42644</v>
      </c>
      <c r="AH3" s="76">
        <v>42675</v>
      </c>
      <c r="AI3" s="76">
        <v>42705</v>
      </c>
      <c r="AJ3" s="76">
        <v>42736</v>
      </c>
      <c r="AK3" s="76">
        <v>42767</v>
      </c>
      <c r="AL3" s="76">
        <v>42795</v>
      </c>
      <c r="AM3" s="76">
        <v>42826</v>
      </c>
      <c r="AN3" s="76">
        <v>42856</v>
      </c>
      <c r="AO3" s="76">
        <v>42887</v>
      </c>
      <c r="AP3" s="76">
        <v>42917</v>
      </c>
      <c r="AQ3" s="31"/>
      <c r="AS3" s="15"/>
      <c r="AV3" s="6"/>
    </row>
    <row r="4" spans="1:51" ht="90" x14ac:dyDescent="0.25">
      <c r="A4" s="32">
        <v>1</v>
      </c>
      <c r="B4" s="29" t="s">
        <v>1</v>
      </c>
      <c r="C4" s="33">
        <v>0</v>
      </c>
      <c r="D4" s="33">
        <v>22</v>
      </c>
      <c r="E4" s="33">
        <v>248</v>
      </c>
      <c r="F4" s="33">
        <v>248</v>
      </c>
      <c r="G4" s="33">
        <v>1199</v>
      </c>
      <c r="H4" s="33">
        <v>3601</v>
      </c>
      <c r="I4" s="33">
        <v>3601</v>
      </c>
      <c r="J4" s="33">
        <v>3601</v>
      </c>
      <c r="K4" s="33">
        <v>6193</v>
      </c>
      <c r="L4" s="33">
        <f>135816-129500</f>
        <v>6316</v>
      </c>
      <c r="M4" s="64">
        <f>135816-129500</f>
        <v>6316</v>
      </c>
      <c r="N4" s="64">
        <f>135816-129500</f>
        <v>6316</v>
      </c>
      <c r="O4" s="144">
        <f>N4+4</f>
        <v>6320</v>
      </c>
      <c r="P4" s="144">
        <f>O4+8</f>
        <v>6328</v>
      </c>
      <c r="Q4" s="144">
        <f t="shared" ref="Q4:U4" si="0">P4+0</f>
        <v>6328</v>
      </c>
      <c r="R4" s="144">
        <f t="shared" si="0"/>
        <v>6328</v>
      </c>
      <c r="S4" s="144">
        <f t="shared" si="0"/>
        <v>6328</v>
      </c>
      <c r="T4" s="144">
        <f t="shared" si="0"/>
        <v>6328</v>
      </c>
      <c r="U4" s="144">
        <f t="shared" si="0"/>
        <v>6328</v>
      </c>
      <c r="V4" s="144">
        <f>U4+0</f>
        <v>6328</v>
      </c>
      <c r="W4" s="144">
        <f>V4+0</f>
        <v>6328</v>
      </c>
      <c r="X4" s="144">
        <f t="shared" ref="X4:AC4" si="1">W4+0+0</f>
        <v>6328</v>
      </c>
      <c r="Y4" s="144">
        <f t="shared" si="1"/>
        <v>6328</v>
      </c>
      <c r="Z4" s="144">
        <f t="shared" si="1"/>
        <v>6328</v>
      </c>
      <c r="AA4" s="77">
        <f t="shared" si="1"/>
        <v>6328</v>
      </c>
      <c r="AB4" s="77">
        <f t="shared" si="1"/>
        <v>6328</v>
      </c>
      <c r="AC4" s="77">
        <f t="shared" si="1"/>
        <v>6328</v>
      </c>
      <c r="AD4" s="77">
        <f>AC4+199+10+0</f>
        <v>6537</v>
      </c>
      <c r="AE4" s="172">
        <f>AD4+1045+0+0</f>
        <v>7582</v>
      </c>
      <c r="AF4" s="172">
        <f>AE4+1293+18+0</f>
        <v>8893</v>
      </c>
      <c r="AG4" s="172">
        <f>AF4+10+774</f>
        <v>9677</v>
      </c>
      <c r="AH4" s="172">
        <f>AG4+23+272</f>
        <v>9972</v>
      </c>
      <c r="AI4" s="172">
        <f>AH4+834+0+76</f>
        <v>10882</v>
      </c>
      <c r="AJ4" s="172">
        <f>AI4+86+0+433</f>
        <v>11401</v>
      </c>
      <c r="AK4" s="172">
        <f>AJ4+2+0+6</f>
        <v>11409</v>
      </c>
      <c r="AL4" s="172">
        <f>AK4+0+6+0+0</f>
        <v>11415</v>
      </c>
      <c r="AM4" s="172">
        <f>AL4+0+2+0</f>
        <v>11417</v>
      </c>
      <c r="AN4" s="172">
        <f>AM4+0+0+0</f>
        <v>11417</v>
      </c>
      <c r="AO4" s="172">
        <f>AN4+0+0+0+0</f>
        <v>11417</v>
      </c>
      <c r="AP4" s="172">
        <f>AO4+0+71+8+0</f>
        <v>11496</v>
      </c>
      <c r="AQ4" s="73" t="s">
        <v>252</v>
      </c>
      <c r="AS4" s="16"/>
      <c r="AU4" s="6"/>
    </row>
    <row r="5" spans="1:51" ht="135" x14ac:dyDescent="0.25">
      <c r="A5" s="32">
        <v>2</v>
      </c>
      <c r="B5" s="29" t="s">
        <v>33</v>
      </c>
      <c r="C5" s="33">
        <v>0</v>
      </c>
      <c r="D5" s="33">
        <v>120</v>
      </c>
      <c r="E5" s="33">
        <v>382</v>
      </c>
      <c r="F5" s="33">
        <v>566</v>
      </c>
      <c r="G5" s="33">
        <v>738</v>
      </c>
      <c r="H5" s="33">
        <v>1159</v>
      </c>
      <c r="I5" s="33">
        <v>1633</v>
      </c>
      <c r="J5" s="33">
        <v>2616</v>
      </c>
      <c r="K5" s="33">
        <v>3852</v>
      </c>
      <c r="L5" s="33">
        <v>4673</v>
      </c>
      <c r="M5" s="64">
        <v>4980</v>
      </c>
      <c r="N5" s="64">
        <v>5596</v>
      </c>
      <c r="O5" s="144">
        <f>N5+555</f>
        <v>6151</v>
      </c>
      <c r="P5" s="144">
        <f>O5+416</f>
        <v>6567</v>
      </c>
      <c r="Q5" s="144">
        <f>P5+563</f>
        <v>7130</v>
      </c>
      <c r="R5" s="144">
        <f>Q5+960</f>
        <v>8090</v>
      </c>
      <c r="S5" s="144">
        <f>R5+335</f>
        <v>8425</v>
      </c>
      <c r="T5" s="144">
        <f>S5+607</f>
        <v>9032</v>
      </c>
      <c r="U5" s="144">
        <f>T5+644</f>
        <v>9676</v>
      </c>
      <c r="V5" s="144">
        <f>U5+1182</f>
        <v>10858</v>
      </c>
      <c r="W5" s="144">
        <f>V5+1477+127</f>
        <v>12462</v>
      </c>
      <c r="X5" s="144">
        <f>W5+1283+0</f>
        <v>13745</v>
      </c>
      <c r="Y5" s="144">
        <f>X5+403+250</f>
        <v>14398</v>
      </c>
      <c r="Z5" s="144">
        <f>Y5+0+269</f>
        <v>14667</v>
      </c>
      <c r="AA5" s="77">
        <f>Z5+0+232</f>
        <v>14899</v>
      </c>
      <c r="AB5" s="77">
        <f>AA5+49+156</f>
        <v>15104</v>
      </c>
      <c r="AC5" s="77">
        <f>AB5+0+339</f>
        <v>15443</v>
      </c>
      <c r="AD5" s="77">
        <f>AC5+282+0+22</f>
        <v>15747</v>
      </c>
      <c r="AE5" s="77">
        <f>AD5+79+0+76</f>
        <v>15902</v>
      </c>
      <c r="AF5" s="77">
        <f>AE5+37+108+516</f>
        <v>16563</v>
      </c>
      <c r="AG5" s="77">
        <f>AF5+19+143</f>
        <v>16725</v>
      </c>
      <c r="AH5" s="77">
        <f>AG5+2+76</f>
        <v>16803</v>
      </c>
      <c r="AI5" s="77">
        <f>AH5+87+172+191</f>
        <v>17253</v>
      </c>
      <c r="AJ5" s="77">
        <f>AI5+0+113+441</f>
        <v>17807</v>
      </c>
      <c r="AK5" s="77">
        <f>AJ5+0+7+269</f>
        <v>18083</v>
      </c>
      <c r="AL5" s="77">
        <f>AK5+90+2+25+7</f>
        <v>18207</v>
      </c>
      <c r="AM5" s="77">
        <f>AL5+4+1+1</f>
        <v>18213</v>
      </c>
      <c r="AN5" s="77">
        <f>AM5+0+0+0</f>
        <v>18213</v>
      </c>
      <c r="AO5" s="77">
        <f>AN5+50+46+0+0</f>
        <v>18309</v>
      </c>
      <c r="AP5" s="77">
        <f>AO5+41+0+0+0</f>
        <v>18350</v>
      </c>
      <c r="AQ5" s="31" t="s">
        <v>253</v>
      </c>
      <c r="AS5" s="17"/>
      <c r="AV5" s="6"/>
    </row>
    <row r="6" spans="1:51" x14ac:dyDescent="0.25">
      <c r="A6" s="32">
        <v>3</v>
      </c>
      <c r="B6" s="29" t="s">
        <v>77</v>
      </c>
      <c r="C6" s="33">
        <v>0</v>
      </c>
      <c r="D6" s="33">
        <v>0</v>
      </c>
      <c r="E6" s="33">
        <v>0</v>
      </c>
      <c r="F6" s="33">
        <v>0</v>
      </c>
      <c r="G6" s="33">
        <v>161</v>
      </c>
      <c r="H6" s="33">
        <v>305</v>
      </c>
      <c r="I6" s="33">
        <v>312</v>
      </c>
      <c r="J6" s="33">
        <v>312</v>
      </c>
      <c r="K6" s="33">
        <v>1045</v>
      </c>
      <c r="L6" s="33">
        <v>1161</v>
      </c>
      <c r="M6" s="64">
        <v>1389</v>
      </c>
      <c r="N6" s="64">
        <v>1437</v>
      </c>
      <c r="O6" s="144">
        <f t="shared" ref="O6:Q8" si="2">N6+0</f>
        <v>1437</v>
      </c>
      <c r="P6" s="144">
        <f t="shared" si="2"/>
        <v>1437</v>
      </c>
      <c r="Q6" s="144">
        <f>P6+93</f>
        <v>1530</v>
      </c>
      <c r="R6" s="144">
        <f t="shared" ref="R6:R8" si="3">Q6+0</f>
        <v>1530</v>
      </c>
      <c r="S6" s="144">
        <f t="shared" ref="S6:S8" si="4">R6+0</f>
        <v>1530</v>
      </c>
      <c r="T6" s="144">
        <f>S6+0</f>
        <v>1530</v>
      </c>
      <c r="U6" s="144">
        <f>T6+0</f>
        <v>1530</v>
      </c>
      <c r="V6" s="144">
        <f>U6+0</f>
        <v>1530</v>
      </c>
      <c r="W6" s="144">
        <f>V6+0</f>
        <v>1530</v>
      </c>
      <c r="X6" s="144">
        <f t="shared" ref="X6:Y8" si="5">W6+0+0</f>
        <v>1530</v>
      </c>
      <c r="Y6" s="144">
        <f t="shared" si="5"/>
        <v>1530</v>
      </c>
      <c r="Z6" s="144">
        <f t="shared" ref="Z6:AA8" si="6">Y6+0+0</f>
        <v>1530</v>
      </c>
      <c r="AA6" s="77">
        <f t="shared" si="6"/>
        <v>1530</v>
      </c>
      <c r="AB6" s="77">
        <f t="shared" ref="AB6:AC8" si="7">AA6+0+0</f>
        <v>1530</v>
      </c>
      <c r="AC6" s="77">
        <f t="shared" si="7"/>
        <v>1530</v>
      </c>
      <c r="AD6" s="77">
        <f t="shared" ref="AD6:AE8" si="8">AC6+0+0+0</f>
        <v>1530</v>
      </c>
      <c r="AE6" s="77">
        <f t="shared" si="8"/>
        <v>1530</v>
      </c>
      <c r="AF6" s="77">
        <f>AE6+0+0</f>
        <v>1530</v>
      </c>
      <c r="AG6" s="77">
        <f>AF6+0+0</f>
        <v>1530</v>
      </c>
      <c r="AH6" s="77">
        <f>AG6+0+0</f>
        <v>1530</v>
      </c>
      <c r="AI6" s="77">
        <f>AH6+0+0+0</f>
        <v>1530</v>
      </c>
      <c r="AJ6" s="77">
        <f>AI6+0+0+0</f>
        <v>1530</v>
      </c>
      <c r="AK6" s="77">
        <f>AJ6+0+0+0</f>
        <v>1530</v>
      </c>
      <c r="AL6" s="77">
        <f>AK6+0+0+0+0</f>
        <v>1530</v>
      </c>
      <c r="AM6" s="77">
        <f>AL6+0+0+0</f>
        <v>1530</v>
      </c>
      <c r="AN6" s="77">
        <f>AM6+0+0+0</f>
        <v>1530</v>
      </c>
      <c r="AO6" s="77">
        <f>AN6+0+0+0</f>
        <v>1530</v>
      </c>
      <c r="AP6" s="77">
        <f>AO6+0+0+0</f>
        <v>1530</v>
      </c>
      <c r="AQ6" s="31" t="s">
        <v>248</v>
      </c>
      <c r="AS6" s="17"/>
      <c r="AW6" s="6"/>
    </row>
    <row r="7" spans="1:51" ht="88.15" customHeight="1" x14ac:dyDescent="0.25">
      <c r="A7" s="32">
        <v>4</v>
      </c>
      <c r="B7" s="29" t="s">
        <v>2</v>
      </c>
      <c r="C7" s="33">
        <v>0</v>
      </c>
      <c r="D7" s="33">
        <v>0</v>
      </c>
      <c r="E7" s="33">
        <v>0</v>
      </c>
      <c r="F7" s="33">
        <v>0</v>
      </c>
      <c r="G7" s="33">
        <v>0</v>
      </c>
      <c r="H7" s="33">
        <v>0</v>
      </c>
      <c r="I7" s="33">
        <v>0</v>
      </c>
      <c r="J7" s="33">
        <v>0</v>
      </c>
      <c r="K7" s="33">
        <v>0</v>
      </c>
      <c r="L7" s="33">
        <v>0</v>
      </c>
      <c r="M7" s="64">
        <v>0</v>
      </c>
      <c r="N7" s="64">
        <v>0</v>
      </c>
      <c r="O7" s="144">
        <f t="shared" si="2"/>
        <v>0</v>
      </c>
      <c r="P7" s="144">
        <f t="shared" si="2"/>
        <v>0</v>
      </c>
      <c r="Q7" s="144">
        <f t="shared" si="2"/>
        <v>0</v>
      </c>
      <c r="R7" s="144">
        <f t="shared" si="3"/>
        <v>0</v>
      </c>
      <c r="S7" s="144">
        <f t="shared" si="4"/>
        <v>0</v>
      </c>
      <c r="T7" s="144">
        <f>S7+0</f>
        <v>0</v>
      </c>
      <c r="U7" s="144">
        <f>T7+18</f>
        <v>18</v>
      </c>
      <c r="V7" s="144">
        <f>U7+5</f>
        <v>23</v>
      </c>
      <c r="W7" s="144">
        <f>V7+9</f>
        <v>32</v>
      </c>
      <c r="X7" s="144">
        <f t="shared" si="5"/>
        <v>32</v>
      </c>
      <c r="Y7" s="144">
        <f>X7+1+0</f>
        <v>33</v>
      </c>
      <c r="Z7" s="144">
        <f t="shared" si="6"/>
        <v>33</v>
      </c>
      <c r="AA7" s="77">
        <f t="shared" si="6"/>
        <v>33</v>
      </c>
      <c r="AB7" s="77">
        <f t="shared" si="7"/>
        <v>33</v>
      </c>
      <c r="AC7" s="77">
        <f t="shared" si="7"/>
        <v>33</v>
      </c>
      <c r="AD7" s="77">
        <f t="shared" si="8"/>
        <v>33</v>
      </c>
      <c r="AE7" s="77">
        <f t="shared" si="8"/>
        <v>33</v>
      </c>
      <c r="AF7" s="77">
        <f>AE7+2+18+0</f>
        <v>53</v>
      </c>
      <c r="AG7" s="77">
        <f>AF7+0+535</f>
        <v>588</v>
      </c>
      <c r="AH7" s="77">
        <f>AG7+128+557</f>
        <v>1273</v>
      </c>
      <c r="AI7" s="77">
        <f>AH7+534+0+219</f>
        <v>2026</v>
      </c>
      <c r="AJ7" s="77">
        <f>AI7+0+0+507</f>
        <v>2533</v>
      </c>
      <c r="AK7" s="77">
        <f>AJ7+0+0+77</f>
        <v>2610</v>
      </c>
      <c r="AL7" s="77">
        <f>AK7+0+55+0+0</f>
        <v>2665</v>
      </c>
      <c r="AM7" s="77">
        <f>AL7+0+0+0</f>
        <v>2665</v>
      </c>
      <c r="AN7" s="77">
        <f>AM7+0+0+0</f>
        <v>2665</v>
      </c>
      <c r="AO7" s="77">
        <f>AN7+0+0+0</f>
        <v>2665</v>
      </c>
      <c r="AP7" s="77">
        <f>AO7+0+0+0+0</f>
        <v>2665</v>
      </c>
      <c r="AQ7" s="31" t="s">
        <v>227</v>
      </c>
      <c r="AS7" s="16"/>
      <c r="AT7" s="6"/>
      <c r="AU7" s="8"/>
      <c r="AV7" s="14"/>
      <c r="AX7" s="8"/>
    </row>
    <row r="8" spans="1:51" s="150" customFormat="1" ht="75" x14ac:dyDescent="0.25">
      <c r="A8" s="236">
        <v>5</v>
      </c>
      <c r="B8" s="237" t="s">
        <v>3</v>
      </c>
      <c r="C8" s="238">
        <v>0</v>
      </c>
      <c r="D8" s="238">
        <v>15</v>
      </c>
      <c r="E8" s="238">
        <v>15</v>
      </c>
      <c r="F8" s="238">
        <v>15</v>
      </c>
      <c r="G8" s="238">
        <v>15</v>
      </c>
      <c r="H8" s="238">
        <v>15</v>
      </c>
      <c r="I8" s="238">
        <v>15</v>
      </c>
      <c r="J8" s="238">
        <v>15</v>
      </c>
      <c r="K8" s="238">
        <v>15</v>
      </c>
      <c r="L8" s="238">
        <v>15</v>
      </c>
      <c r="M8" s="239">
        <v>18</v>
      </c>
      <c r="N8" s="239">
        <v>18</v>
      </c>
      <c r="O8" s="240">
        <f t="shared" si="2"/>
        <v>18</v>
      </c>
      <c r="P8" s="240">
        <f t="shared" si="2"/>
        <v>18</v>
      </c>
      <c r="Q8" s="240">
        <f t="shared" si="2"/>
        <v>18</v>
      </c>
      <c r="R8" s="240">
        <f t="shared" si="3"/>
        <v>18</v>
      </c>
      <c r="S8" s="240">
        <f t="shared" si="4"/>
        <v>18</v>
      </c>
      <c r="T8" s="240">
        <f>S8+0</f>
        <v>18</v>
      </c>
      <c r="U8" s="240">
        <f>T8+0</f>
        <v>18</v>
      </c>
      <c r="V8" s="240">
        <f>U8+0</f>
        <v>18</v>
      </c>
      <c r="W8" s="240">
        <f>V8+0</f>
        <v>18</v>
      </c>
      <c r="X8" s="240">
        <f t="shared" si="5"/>
        <v>18</v>
      </c>
      <c r="Y8" s="240">
        <f t="shared" si="5"/>
        <v>18</v>
      </c>
      <c r="Z8" s="240">
        <f t="shared" si="6"/>
        <v>18</v>
      </c>
      <c r="AA8" s="172">
        <f t="shared" si="6"/>
        <v>18</v>
      </c>
      <c r="AB8" s="172">
        <f t="shared" si="7"/>
        <v>18</v>
      </c>
      <c r="AC8" s="172">
        <f t="shared" si="7"/>
        <v>18</v>
      </c>
      <c r="AD8" s="172">
        <f t="shared" si="8"/>
        <v>18</v>
      </c>
      <c r="AE8" s="172">
        <f t="shared" si="8"/>
        <v>18</v>
      </c>
      <c r="AF8" s="172">
        <f>AE8+0+0</f>
        <v>18</v>
      </c>
      <c r="AG8" s="172">
        <f>AF8+0+0</f>
        <v>18</v>
      </c>
      <c r="AH8" s="172">
        <f>AG8+0+0</f>
        <v>18</v>
      </c>
      <c r="AI8" s="172">
        <f>AH8+0+0+0</f>
        <v>18</v>
      </c>
      <c r="AJ8" s="172">
        <f>AI8+0+0+0</f>
        <v>18</v>
      </c>
      <c r="AK8" s="172">
        <f>AJ8+0+0+0</f>
        <v>18</v>
      </c>
      <c r="AL8" s="172">
        <f>AK8+0+0+0+0</f>
        <v>18</v>
      </c>
      <c r="AM8" s="172">
        <f>AL8+0+0+0</f>
        <v>18</v>
      </c>
      <c r="AN8" s="172">
        <f>AM8+29+8+0</f>
        <v>55</v>
      </c>
      <c r="AO8" s="172">
        <f>AN8+599+0+0+0</f>
        <v>654</v>
      </c>
      <c r="AP8" s="172">
        <f>AO8+80+0+0+0</f>
        <v>734</v>
      </c>
      <c r="AQ8" s="52" t="s">
        <v>254</v>
      </c>
      <c r="AS8" s="241"/>
      <c r="AU8" s="242"/>
      <c r="AW8" s="242"/>
    </row>
    <row r="9" spans="1:51" s="150" customFormat="1" ht="195" x14ac:dyDescent="0.25">
      <c r="A9" s="236">
        <v>6</v>
      </c>
      <c r="B9" s="237" t="s">
        <v>4</v>
      </c>
      <c r="C9" s="238">
        <v>0</v>
      </c>
      <c r="D9" s="238">
        <v>222</v>
      </c>
      <c r="E9" s="238">
        <v>429</v>
      </c>
      <c r="F9" s="238">
        <v>777</v>
      </c>
      <c r="G9" s="238">
        <v>777</v>
      </c>
      <c r="H9" s="238">
        <v>1187</v>
      </c>
      <c r="I9" s="238">
        <v>1216</v>
      </c>
      <c r="J9" s="238">
        <v>1229</v>
      </c>
      <c r="K9" s="238">
        <v>1272</v>
      </c>
      <c r="L9" s="238">
        <v>1305</v>
      </c>
      <c r="M9" s="239">
        <v>1709</v>
      </c>
      <c r="N9" s="239">
        <v>1864</v>
      </c>
      <c r="O9" s="240">
        <f>N9+206</f>
        <v>2070</v>
      </c>
      <c r="P9" s="240">
        <f>O9+157</f>
        <v>2227</v>
      </c>
      <c r="Q9" s="240">
        <f>P9+177</f>
        <v>2404</v>
      </c>
      <c r="R9" s="240">
        <f>Q9+384</f>
        <v>2788</v>
      </c>
      <c r="S9" s="240">
        <f>R9+290</f>
        <v>3078</v>
      </c>
      <c r="T9" s="240">
        <f>S9+189</f>
        <v>3267</v>
      </c>
      <c r="U9" s="240">
        <f>T9+403</f>
        <v>3670</v>
      </c>
      <c r="V9" s="240">
        <f>U9+438</f>
        <v>4108</v>
      </c>
      <c r="W9" s="240">
        <f>V9+398+4</f>
        <v>4510</v>
      </c>
      <c r="X9" s="240">
        <f>W9+1+291</f>
        <v>4802</v>
      </c>
      <c r="Y9" s="240">
        <f>X9+80+507</f>
        <v>5389</v>
      </c>
      <c r="Z9" s="240">
        <f>Y9+0+450</f>
        <v>5839</v>
      </c>
      <c r="AA9" s="172">
        <f>Z9+0+1982</f>
        <v>7821</v>
      </c>
      <c r="AB9" s="172">
        <f>AA9+1476+24</f>
        <v>9321</v>
      </c>
      <c r="AC9" s="172">
        <f>AB9+574+8</f>
        <v>9903</v>
      </c>
      <c r="AD9" s="172">
        <f>AC9+237+359+0</f>
        <v>10499</v>
      </c>
      <c r="AE9" s="172">
        <f>AD9+487+0+0</f>
        <v>10986</v>
      </c>
      <c r="AF9" s="172">
        <f>AE9+363+68+0</f>
        <v>11417</v>
      </c>
      <c r="AG9" s="172">
        <f>AF9+78+215</f>
        <v>11710</v>
      </c>
      <c r="AH9" s="172">
        <f>AG9+25+708</f>
        <v>12443</v>
      </c>
      <c r="AI9" s="172">
        <f>AH9+1552+0+417</f>
        <v>14412</v>
      </c>
      <c r="AJ9" s="172">
        <f>AI9+912+0+0</f>
        <v>15324</v>
      </c>
      <c r="AK9" s="172">
        <f>AJ9+405+0+0</f>
        <v>15729</v>
      </c>
      <c r="AL9" s="172">
        <f>AK9+19+104+240+0</f>
        <v>16092</v>
      </c>
      <c r="AM9" s="172">
        <f>AL9+582+45+0</f>
        <v>16719</v>
      </c>
      <c r="AN9" s="172">
        <f>AM9+1037+0+0</f>
        <v>17756</v>
      </c>
      <c r="AO9" s="172">
        <f>AN9+181+648+0+0</f>
        <v>18585</v>
      </c>
      <c r="AP9" s="172">
        <f>AO9+456+0+0+0</f>
        <v>19041</v>
      </c>
      <c r="AQ9" s="52" t="s">
        <v>255</v>
      </c>
      <c r="AS9" s="243"/>
      <c r="AU9" s="242"/>
      <c r="AX9" s="242"/>
    </row>
    <row r="10" spans="1:51" s="150" customFormat="1" x14ac:dyDescent="0.25">
      <c r="A10" s="236">
        <v>7</v>
      </c>
      <c r="B10" s="237" t="s">
        <v>17</v>
      </c>
      <c r="C10" s="238">
        <v>0</v>
      </c>
      <c r="D10" s="238">
        <v>12</v>
      </c>
      <c r="E10" s="238">
        <v>12</v>
      </c>
      <c r="F10" s="238">
        <v>18</v>
      </c>
      <c r="G10" s="238">
        <v>18</v>
      </c>
      <c r="H10" s="238">
        <v>18</v>
      </c>
      <c r="I10" s="238">
        <v>18</v>
      </c>
      <c r="J10" s="238">
        <v>18</v>
      </c>
      <c r="K10" s="238">
        <v>18</v>
      </c>
      <c r="L10" s="238">
        <v>25</v>
      </c>
      <c r="M10" s="239">
        <v>91</v>
      </c>
      <c r="N10" s="239">
        <v>91</v>
      </c>
      <c r="O10" s="240">
        <f>N10+0</f>
        <v>91</v>
      </c>
      <c r="P10" s="240">
        <f>O10+0</f>
        <v>91</v>
      </c>
      <c r="Q10" s="240">
        <f>P10+0</f>
        <v>91</v>
      </c>
      <c r="R10" s="240">
        <f>Q10+0</f>
        <v>91</v>
      </c>
      <c r="S10" s="240">
        <f>R10+9</f>
        <v>100</v>
      </c>
      <c r="T10" s="240">
        <f>S10+13</f>
        <v>113</v>
      </c>
      <c r="U10" s="240">
        <f>T10+0</f>
        <v>113</v>
      </c>
      <c r="V10" s="240">
        <f>U10+0</f>
        <v>113</v>
      </c>
      <c r="W10" s="240">
        <f>V10+0+4</f>
        <v>117</v>
      </c>
      <c r="X10" s="240">
        <f>W10+0+0</f>
        <v>117</v>
      </c>
      <c r="Y10" s="240">
        <f>X10+0+0</f>
        <v>117</v>
      </c>
      <c r="Z10" s="240">
        <f>Y10+0+0</f>
        <v>117</v>
      </c>
      <c r="AA10" s="172">
        <f>Z10+0+0</f>
        <v>117</v>
      </c>
      <c r="AB10" s="172">
        <f>AA10+0+38</f>
        <v>155</v>
      </c>
      <c r="AC10" s="172">
        <f>AB10+0+16</f>
        <v>171</v>
      </c>
      <c r="AD10" s="172">
        <f>AC10+51+0+0</f>
        <v>222</v>
      </c>
      <c r="AE10" s="172">
        <f>AD10+43+0+8</f>
        <v>273</v>
      </c>
      <c r="AF10" s="172">
        <f>AE10+10+33+1</f>
        <v>317</v>
      </c>
      <c r="AG10" s="172">
        <f>AF10+7+25</f>
        <v>349</v>
      </c>
      <c r="AH10" s="172">
        <f>AG10+0+63</f>
        <v>412</v>
      </c>
      <c r="AI10" s="172">
        <f>AH10+14+0+5</f>
        <v>431</v>
      </c>
      <c r="AJ10" s="172">
        <f>AI10+1+0+6</f>
        <v>438</v>
      </c>
      <c r="AK10" s="172">
        <f>AJ10+0+0+0</f>
        <v>438</v>
      </c>
      <c r="AL10" s="172">
        <f>AK10+92+0+0+0</f>
        <v>530</v>
      </c>
      <c r="AM10" s="172">
        <f>AL10+91+0+0</f>
        <v>621</v>
      </c>
      <c r="AN10" s="172">
        <f>AM10+58+0+0</f>
        <v>679</v>
      </c>
      <c r="AO10" s="172">
        <f>AN10+187+0+0+0</f>
        <v>866</v>
      </c>
      <c r="AP10" s="172">
        <f>AO10+592+0+0+0</f>
        <v>1458</v>
      </c>
      <c r="AQ10" s="52" t="s">
        <v>224</v>
      </c>
      <c r="AS10" s="243"/>
      <c r="AU10" s="242"/>
      <c r="AY10" s="242"/>
    </row>
    <row r="11" spans="1:51" x14ac:dyDescent="0.25">
      <c r="A11" s="34"/>
      <c r="B11" s="29"/>
      <c r="C11" s="30"/>
      <c r="D11" s="30"/>
      <c r="E11" s="30"/>
      <c r="F11" s="30"/>
      <c r="G11" s="30"/>
      <c r="H11" s="30"/>
      <c r="I11" s="30"/>
      <c r="J11" s="30"/>
      <c r="K11" s="30"/>
      <c r="L11" s="30"/>
      <c r="M11" s="65"/>
      <c r="N11" s="65"/>
      <c r="O11" s="145"/>
      <c r="P11" s="145"/>
      <c r="Q11" s="145"/>
      <c r="R11" s="145"/>
      <c r="S11" s="145"/>
      <c r="T11" s="145"/>
      <c r="U11" s="145"/>
      <c r="V11" s="145"/>
      <c r="W11" s="145"/>
      <c r="X11" s="145"/>
      <c r="Y11" s="145"/>
      <c r="Z11" s="145"/>
      <c r="AA11" s="78"/>
      <c r="AB11" s="78"/>
      <c r="AC11" s="78"/>
      <c r="AD11" s="78"/>
      <c r="AE11" s="78"/>
      <c r="AF11" s="78"/>
      <c r="AG11" s="78"/>
      <c r="AH11" s="78"/>
      <c r="AI11" s="78"/>
      <c r="AJ11" s="78"/>
      <c r="AK11" s="78"/>
      <c r="AL11" s="78"/>
      <c r="AM11" s="78"/>
      <c r="AN11" s="78"/>
      <c r="AO11" s="78"/>
      <c r="AP11" s="78"/>
      <c r="AQ11" s="31"/>
      <c r="AS11" s="15"/>
      <c r="AU11" s="8"/>
      <c r="AY11" s="8"/>
    </row>
    <row r="12" spans="1:51" ht="15.75" thickBot="1" x14ac:dyDescent="0.3">
      <c r="A12" s="9" t="s">
        <v>21</v>
      </c>
      <c r="B12" s="10"/>
      <c r="C12" s="11">
        <f t="shared" ref="C12:S12" si="9">SUM(C4:C10)</f>
        <v>0</v>
      </c>
      <c r="D12" s="11">
        <f t="shared" si="9"/>
        <v>391</v>
      </c>
      <c r="E12" s="11">
        <f t="shared" si="9"/>
        <v>1086</v>
      </c>
      <c r="F12" s="11">
        <f t="shared" si="9"/>
        <v>1624</v>
      </c>
      <c r="G12" s="11">
        <f t="shared" si="9"/>
        <v>2908</v>
      </c>
      <c r="H12" s="11">
        <f t="shared" si="9"/>
        <v>6285</v>
      </c>
      <c r="I12" s="11">
        <f t="shared" si="9"/>
        <v>6795</v>
      </c>
      <c r="J12" s="11">
        <f t="shared" si="9"/>
        <v>7791</v>
      </c>
      <c r="K12" s="11">
        <f t="shared" si="9"/>
        <v>12395</v>
      </c>
      <c r="L12" s="11">
        <f t="shared" si="9"/>
        <v>13495</v>
      </c>
      <c r="M12" s="66">
        <f t="shared" si="9"/>
        <v>14503</v>
      </c>
      <c r="N12" s="66">
        <f t="shared" si="9"/>
        <v>15322</v>
      </c>
      <c r="O12" s="146">
        <f t="shared" si="9"/>
        <v>16087</v>
      </c>
      <c r="P12" s="146">
        <f t="shared" si="9"/>
        <v>16668</v>
      </c>
      <c r="Q12" s="146">
        <f t="shared" si="9"/>
        <v>17501</v>
      </c>
      <c r="R12" s="146">
        <f t="shared" si="9"/>
        <v>18845</v>
      </c>
      <c r="S12" s="146">
        <f t="shared" si="9"/>
        <v>19479</v>
      </c>
      <c r="T12" s="146">
        <f t="shared" ref="T12:U12" si="10">SUM(T4:T10)</f>
        <v>20288</v>
      </c>
      <c r="U12" s="187">
        <f t="shared" si="10"/>
        <v>21353</v>
      </c>
      <c r="V12" s="146">
        <f t="shared" ref="V12:W12" si="11">SUM(V4:V10)</f>
        <v>22978</v>
      </c>
      <c r="W12" s="146">
        <f t="shared" si="11"/>
        <v>24997</v>
      </c>
      <c r="X12" s="146">
        <f t="shared" ref="X12:Y12" si="12">SUM(X4:X10)</f>
        <v>26572</v>
      </c>
      <c r="Y12" s="146">
        <f t="shared" si="12"/>
        <v>27813</v>
      </c>
      <c r="Z12" s="146">
        <f t="shared" ref="Z12:AA12" si="13">SUM(Z4:Z10)</f>
        <v>28532</v>
      </c>
      <c r="AA12" s="79">
        <f t="shared" si="13"/>
        <v>30746</v>
      </c>
      <c r="AB12" s="79">
        <f t="shared" ref="AB12:AC12" si="14">SUM(AB4:AB10)</f>
        <v>32489</v>
      </c>
      <c r="AC12" s="79">
        <f t="shared" si="14"/>
        <v>33426</v>
      </c>
      <c r="AD12" s="79">
        <f t="shared" ref="AD12:AE12" si="15">SUM(AD4:AD10)</f>
        <v>34586</v>
      </c>
      <c r="AE12" s="79">
        <f t="shared" si="15"/>
        <v>36324</v>
      </c>
      <c r="AF12" s="79">
        <f t="shared" ref="AF12:AG12" si="16">SUM(AF4:AF10)</f>
        <v>38791</v>
      </c>
      <c r="AG12" s="79">
        <f t="shared" si="16"/>
        <v>40597</v>
      </c>
      <c r="AH12" s="79">
        <f t="shared" ref="AH12:AI12" si="17">SUM(AH4:AH10)</f>
        <v>42451</v>
      </c>
      <c r="AI12" s="79">
        <f t="shared" si="17"/>
        <v>46552</v>
      </c>
      <c r="AJ12" s="79">
        <f t="shared" ref="AJ12:AK12" si="18">SUM(AJ4:AJ10)</f>
        <v>49051</v>
      </c>
      <c r="AK12" s="79">
        <f t="shared" si="18"/>
        <v>49817</v>
      </c>
      <c r="AL12" s="79">
        <f t="shared" ref="AL12:AM12" si="19">SUM(AL4:AL10)</f>
        <v>50457</v>
      </c>
      <c r="AM12" s="79">
        <f t="shared" si="19"/>
        <v>51183</v>
      </c>
      <c r="AN12" s="79">
        <f t="shared" ref="AN12:AO12" si="20">SUM(AN4:AN10)</f>
        <v>52315</v>
      </c>
      <c r="AO12" s="79">
        <f t="shared" si="20"/>
        <v>54026</v>
      </c>
      <c r="AP12" s="79">
        <f t="shared" ref="AP12" si="21">SUM(AP4:AP10)</f>
        <v>55274</v>
      </c>
      <c r="AQ12" s="51"/>
      <c r="AS12" s="6"/>
      <c r="AU12" s="8"/>
      <c r="AY12" s="8"/>
    </row>
    <row r="13" spans="1:51" x14ac:dyDescent="0.25">
      <c r="A13" s="48" t="s">
        <v>22</v>
      </c>
      <c r="B13" s="49"/>
      <c r="C13" s="50">
        <f>C9</f>
        <v>0</v>
      </c>
      <c r="D13" s="50">
        <f>D12-C12</f>
        <v>391</v>
      </c>
      <c r="E13" s="50">
        <f t="shared" ref="E13:K13" si="22">E12-D12</f>
        <v>695</v>
      </c>
      <c r="F13" s="50">
        <f t="shared" si="22"/>
        <v>538</v>
      </c>
      <c r="G13" s="50">
        <f t="shared" si="22"/>
        <v>1284</v>
      </c>
      <c r="H13" s="50">
        <f t="shared" si="22"/>
        <v>3377</v>
      </c>
      <c r="I13" s="50">
        <f t="shared" si="22"/>
        <v>510</v>
      </c>
      <c r="J13" s="50">
        <f t="shared" si="22"/>
        <v>996</v>
      </c>
      <c r="K13" s="50">
        <f t="shared" si="22"/>
        <v>4604</v>
      </c>
      <c r="L13" s="50">
        <f t="shared" ref="L13:Q13" si="23">L12-K12</f>
        <v>1100</v>
      </c>
      <c r="M13" s="67">
        <f t="shared" si="23"/>
        <v>1008</v>
      </c>
      <c r="N13" s="50">
        <f t="shared" si="23"/>
        <v>819</v>
      </c>
      <c r="O13" s="67">
        <f t="shared" si="23"/>
        <v>765</v>
      </c>
      <c r="P13" s="50">
        <f t="shared" si="23"/>
        <v>581</v>
      </c>
      <c r="Q13" s="50">
        <f t="shared" si="23"/>
        <v>833</v>
      </c>
      <c r="R13" s="50">
        <f t="shared" ref="R13:Y13" si="24">R12-Q12</f>
        <v>1344</v>
      </c>
      <c r="S13" s="50">
        <f t="shared" si="24"/>
        <v>634</v>
      </c>
      <c r="T13" s="80">
        <f t="shared" si="24"/>
        <v>809</v>
      </c>
      <c r="U13" s="67">
        <f t="shared" si="24"/>
        <v>1065</v>
      </c>
      <c r="V13" s="188">
        <f t="shared" si="24"/>
        <v>1625</v>
      </c>
      <c r="W13" s="188">
        <f t="shared" si="24"/>
        <v>2019</v>
      </c>
      <c r="X13" s="188">
        <f t="shared" si="24"/>
        <v>1575</v>
      </c>
      <c r="Y13" s="188">
        <f t="shared" si="24"/>
        <v>1241</v>
      </c>
      <c r="Z13" s="188">
        <f t="shared" ref="Z13:AE13" si="25">Z12-Y12</f>
        <v>719</v>
      </c>
      <c r="AA13" s="188">
        <f t="shared" si="25"/>
        <v>2214</v>
      </c>
      <c r="AB13" s="188">
        <f t="shared" si="25"/>
        <v>1743</v>
      </c>
      <c r="AC13" s="188">
        <f t="shared" si="25"/>
        <v>937</v>
      </c>
      <c r="AD13" s="188">
        <f t="shared" si="25"/>
        <v>1160</v>
      </c>
      <c r="AE13" s="188">
        <f t="shared" si="25"/>
        <v>1738</v>
      </c>
      <c r="AF13" s="188">
        <f t="shared" ref="AF13:AP13" si="26">AF12-AE12</f>
        <v>2467</v>
      </c>
      <c r="AG13" s="188">
        <f t="shared" si="26"/>
        <v>1806</v>
      </c>
      <c r="AH13" s="188">
        <f t="shared" si="26"/>
        <v>1854</v>
      </c>
      <c r="AI13" s="188">
        <f t="shared" si="26"/>
        <v>4101</v>
      </c>
      <c r="AJ13" s="188">
        <f t="shared" si="26"/>
        <v>2499</v>
      </c>
      <c r="AK13" s="188">
        <f t="shared" si="26"/>
        <v>766</v>
      </c>
      <c r="AL13" s="188">
        <f t="shared" si="26"/>
        <v>640</v>
      </c>
      <c r="AM13" s="188">
        <f t="shared" si="26"/>
        <v>726</v>
      </c>
      <c r="AN13" s="188">
        <f t="shared" si="26"/>
        <v>1132</v>
      </c>
      <c r="AO13" s="188">
        <f t="shared" si="26"/>
        <v>1711</v>
      </c>
      <c r="AP13" s="188">
        <f t="shared" si="26"/>
        <v>1248</v>
      </c>
      <c r="AQ13" s="57"/>
      <c r="AS13" s="6"/>
      <c r="AU13" s="8"/>
      <c r="AY13" s="8"/>
    </row>
    <row r="14" spans="1:51" s="7" customFormat="1" x14ac:dyDescent="0.25">
      <c r="A14" s="36">
        <v>1</v>
      </c>
      <c r="B14" s="37" t="s">
        <v>58</v>
      </c>
      <c r="C14" s="38">
        <v>0</v>
      </c>
      <c r="D14" s="42">
        <v>350</v>
      </c>
      <c r="E14" s="42">
        <v>931</v>
      </c>
      <c r="F14" s="42">
        <v>1109</v>
      </c>
      <c r="G14" s="42">
        <v>2265</v>
      </c>
      <c r="H14" s="42">
        <v>4768</v>
      </c>
      <c r="I14" s="42">
        <f t="shared" ref="I14:P14" si="27">I12-I15</f>
        <v>5184</v>
      </c>
      <c r="J14" s="42">
        <f t="shared" si="27"/>
        <v>6104</v>
      </c>
      <c r="K14" s="42">
        <f t="shared" si="27"/>
        <v>9624</v>
      </c>
      <c r="L14" s="42">
        <f t="shared" si="27"/>
        <v>10605</v>
      </c>
      <c r="M14" s="68">
        <f t="shared" si="27"/>
        <v>11435</v>
      </c>
      <c r="N14" s="42">
        <f t="shared" ref="N14:O14" si="28">N12-N15</f>
        <v>12184</v>
      </c>
      <c r="O14" s="68">
        <f t="shared" si="28"/>
        <v>12921</v>
      </c>
      <c r="P14" s="42">
        <f t="shared" si="27"/>
        <v>13471</v>
      </c>
      <c r="Q14" s="42">
        <f t="shared" ref="Q14:R14" si="29">Q12-Q15</f>
        <v>14183</v>
      </c>
      <c r="R14" s="42">
        <f t="shared" si="29"/>
        <v>15294</v>
      </c>
      <c r="S14" s="42">
        <f t="shared" ref="S14:T14" si="30">S12-S15</f>
        <v>15838</v>
      </c>
      <c r="T14" s="81">
        <f t="shared" si="30"/>
        <v>16458</v>
      </c>
      <c r="U14" s="68">
        <f t="shared" ref="U14:V14" si="31">U12-U15</f>
        <v>17384</v>
      </c>
      <c r="V14" s="189">
        <f t="shared" si="31"/>
        <v>18738</v>
      </c>
      <c r="W14" s="189">
        <f t="shared" ref="W14:X14" si="32">W12-W15</f>
        <v>20455</v>
      </c>
      <c r="X14" s="189">
        <f t="shared" si="32"/>
        <v>21802</v>
      </c>
      <c r="Y14" s="189">
        <f t="shared" ref="Y14:Z14" si="33">Y12-Y15</f>
        <v>22933</v>
      </c>
      <c r="Z14" s="189">
        <f t="shared" si="33"/>
        <v>23629</v>
      </c>
      <c r="AA14" s="189">
        <f t="shared" ref="AA14:AB14" si="34">AA12-AA15</f>
        <v>25811</v>
      </c>
      <c r="AB14" s="189">
        <f t="shared" si="34"/>
        <v>27505</v>
      </c>
      <c r="AC14" s="189">
        <f t="shared" ref="AC14:AD14" si="35">AC12-AC15</f>
        <v>28430</v>
      </c>
      <c r="AD14" s="189">
        <f t="shared" si="35"/>
        <v>29535</v>
      </c>
      <c r="AE14" s="189">
        <f t="shared" ref="AE14:AF14" si="36">AE12-AE15</f>
        <v>31191</v>
      </c>
      <c r="AF14" s="189">
        <f t="shared" si="36"/>
        <v>33390</v>
      </c>
      <c r="AG14" s="189">
        <f t="shared" ref="AG14:AH14" si="37">AG12-AG15</f>
        <v>35120</v>
      </c>
      <c r="AH14" s="189">
        <f t="shared" si="37"/>
        <v>36789</v>
      </c>
      <c r="AI14" s="189">
        <f t="shared" ref="AI14:AJ14" si="38">AI12-AI15</f>
        <v>40757</v>
      </c>
      <c r="AJ14" s="189">
        <f t="shared" si="38"/>
        <v>43093</v>
      </c>
      <c r="AK14" s="189">
        <f t="shared" ref="AK14:AL14" si="39">AK12-AK15</f>
        <v>43847</v>
      </c>
      <c r="AL14" s="189">
        <f t="shared" si="39"/>
        <v>44464</v>
      </c>
      <c r="AM14" s="189">
        <f t="shared" ref="AM14:AN14" si="40">AM12-AM15</f>
        <v>45186</v>
      </c>
      <c r="AN14" s="189">
        <f t="shared" si="40"/>
        <v>46310</v>
      </c>
      <c r="AO14" s="189">
        <f t="shared" ref="AO14:AP14" si="41">AO12-AO15</f>
        <v>48013</v>
      </c>
      <c r="AP14" s="189">
        <f t="shared" si="41"/>
        <v>49261</v>
      </c>
      <c r="AQ14" s="52"/>
      <c r="AS14" s="6"/>
      <c r="AT14"/>
      <c r="AU14" s="8"/>
      <c r="AV14"/>
      <c r="AW14"/>
      <c r="AX14" s="8"/>
      <c r="AY14"/>
    </row>
    <row r="15" spans="1:51" s="7" customFormat="1" x14ac:dyDescent="0.25">
      <c r="A15" s="36">
        <v>2</v>
      </c>
      <c r="B15" s="37" t="s">
        <v>24</v>
      </c>
      <c r="C15" s="38">
        <v>0</v>
      </c>
      <c r="D15" s="42">
        <v>41</v>
      </c>
      <c r="E15" s="42">
        <v>155</v>
      </c>
      <c r="F15" s="42">
        <v>515</v>
      </c>
      <c r="G15" s="42">
        <v>643</v>
      </c>
      <c r="H15" s="42">
        <v>1517</v>
      </c>
      <c r="I15" s="42">
        <v>1611</v>
      </c>
      <c r="J15" s="42">
        <v>1687</v>
      </c>
      <c r="K15" s="42">
        <v>2771</v>
      </c>
      <c r="L15" s="42">
        <v>2890</v>
      </c>
      <c r="M15" s="68">
        <v>3068</v>
      </c>
      <c r="N15" s="42">
        <v>3138</v>
      </c>
      <c r="O15" s="68">
        <f>N15+28</f>
        <v>3166</v>
      </c>
      <c r="P15" s="42">
        <f>O15+31</f>
        <v>3197</v>
      </c>
      <c r="Q15" s="42">
        <f>P15+121</f>
        <v>3318</v>
      </c>
      <c r="R15" s="42">
        <f>Q15+233</f>
        <v>3551</v>
      </c>
      <c r="S15" s="42">
        <f>R15+90</f>
        <v>3641</v>
      </c>
      <c r="T15" s="81">
        <f>S15+189</f>
        <v>3830</v>
      </c>
      <c r="U15" s="68">
        <f>T15+139</f>
        <v>3969</v>
      </c>
      <c r="V15" s="189">
        <f>U15+271</f>
        <v>4240</v>
      </c>
      <c r="W15" s="189">
        <f>V15+268+34</f>
        <v>4542</v>
      </c>
      <c r="X15" s="189">
        <f>W15+228</f>
        <v>4770</v>
      </c>
      <c r="Y15" s="189">
        <f>X15+72+38</f>
        <v>4880</v>
      </c>
      <c r="Z15" s="189">
        <f>Y15+0+23</f>
        <v>4903</v>
      </c>
      <c r="AA15" s="189">
        <f>Z15+0+32</f>
        <v>4935</v>
      </c>
      <c r="AB15" s="189">
        <f>AA15+2+47</f>
        <v>4984</v>
      </c>
      <c r="AC15" s="189">
        <f>AB15+0+12</f>
        <v>4996</v>
      </c>
      <c r="AD15" s="189">
        <f>AC15+0+48+7</f>
        <v>5051</v>
      </c>
      <c r="AE15" s="189">
        <f>AD15+56+0+26</f>
        <v>5133</v>
      </c>
      <c r="AF15" s="189">
        <f>AE15+143+22+103</f>
        <v>5401</v>
      </c>
      <c r="AG15" s="189">
        <f>AF15+76</f>
        <v>5477</v>
      </c>
      <c r="AH15" s="189">
        <f>AG15+47+138</f>
        <v>5662</v>
      </c>
      <c r="AI15" s="189">
        <f>AH15+44+35+54</f>
        <v>5795</v>
      </c>
      <c r="AJ15" s="189">
        <f>AI15+0+29+134</f>
        <v>5958</v>
      </c>
      <c r="AK15" s="189">
        <f>AJ15+0+0+12</f>
        <v>5970</v>
      </c>
      <c r="AL15" s="189">
        <f>AK15+23+0+0+0</f>
        <v>5993</v>
      </c>
      <c r="AM15" s="189">
        <f>AL15+4+0+0</f>
        <v>5997</v>
      </c>
      <c r="AN15" s="189">
        <f>AM15+8+0+0</f>
        <v>6005</v>
      </c>
      <c r="AO15" s="189">
        <f>AN15+3+5+0+0</f>
        <v>6013</v>
      </c>
      <c r="AP15" s="189">
        <f>AO15+0+0+0+0</f>
        <v>6013</v>
      </c>
      <c r="AQ15" s="72"/>
      <c r="AS15" s="6"/>
      <c r="AT15"/>
      <c r="AU15" s="8"/>
      <c r="AV15"/>
      <c r="AW15"/>
      <c r="AX15" s="8"/>
      <c r="AY15"/>
    </row>
    <row r="16" spans="1:51" s="7" customFormat="1" ht="30" x14ac:dyDescent="0.25">
      <c r="A16" s="36">
        <v>3</v>
      </c>
      <c r="B16" s="37" t="s">
        <v>191</v>
      </c>
      <c r="C16" s="38">
        <v>0</v>
      </c>
      <c r="D16" s="42">
        <v>41</v>
      </c>
      <c r="E16" s="42">
        <v>155</v>
      </c>
      <c r="F16" s="42">
        <v>515</v>
      </c>
      <c r="G16" s="42">
        <v>643</v>
      </c>
      <c r="H16" s="42">
        <v>1517</v>
      </c>
      <c r="I16" s="42">
        <v>1611</v>
      </c>
      <c r="J16" s="42">
        <v>1687</v>
      </c>
      <c r="K16" s="42">
        <v>2771</v>
      </c>
      <c r="L16" s="42">
        <v>2890</v>
      </c>
      <c r="M16" s="68">
        <v>3068</v>
      </c>
      <c r="N16" s="42">
        <v>3138</v>
      </c>
      <c r="O16" s="68">
        <f>N16+28</f>
        <v>3166</v>
      </c>
      <c r="P16" s="42">
        <f>O16+31</f>
        <v>3197</v>
      </c>
      <c r="Q16" s="42">
        <f>P16+121</f>
        <v>3318</v>
      </c>
      <c r="R16" s="42">
        <f>Q16+233</f>
        <v>3551</v>
      </c>
      <c r="S16" s="42">
        <f>R16+90</f>
        <v>3641</v>
      </c>
      <c r="T16" s="81">
        <f>S16+189</f>
        <v>3830</v>
      </c>
      <c r="U16" s="68">
        <f>T16+139</f>
        <v>3969</v>
      </c>
      <c r="V16" s="190">
        <v>0</v>
      </c>
      <c r="W16" s="190">
        <v>0</v>
      </c>
      <c r="X16" s="190">
        <v>0</v>
      </c>
      <c r="Y16" s="190">
        <v>0</v>
      </c>
      <c r="Z16" s="190">
        <v>0</v>
      </c>
      <c r="AA16" s="190">
        <v>0</v>
      </c>
      <c r="AB16" s="190">
        <v>0</v>
      </c>
      <c r="AC16" s="190">
        <v>0</v>
      </c>
      <c r="AD16" s="190">
        <v>0</v>
      </c>
      <c r="AE16" s="190">
        <v>0</v>
      </c>
      <c r="AF16" s="190">
        <v>0</v>
      </c>
      <c r="AG16" s="190">
        <v>0</v>
      </c>
      <c r="AH16" s="189">
        <v>11</v>
      </c>
      <c r="AI16" s="189">
        <f>AH16+34+0+6</f>
        <v>51</v>
      </c>
      <c r="AJ16" s="189">
        <f>AI16+0+0+17</f>
        <v>68</v>
      </c>
      <c r="AK16" s="189">
        <f>AJ16+0+0+8</f>
        <v>76</v>
      </c>
      <c r="AL16" s="189">
        <f>AK16+2+0+0+0</f>
        <v>78</v>
      </c>
      <c r="AM16" s="189">
        <f>AL16+0+0+0</f>
        <v>78</v>
      </c>
      <c r="AN16" s="189">
        <f>AM16+0+0+0</f>
        <v>78</v>
      </c>
      <c r="AO16" s="189">
        <f>AN16+1+0+0+0</f>
        <v>79</v>
      </c>
      <c r="AP16" s="189">
        <f>AO16+0+0+0+0</f>
        <v>79</v>
      </c>
      <c r="AQ16" s="72"/>
      <c r="AS16" s="6"/>
      <c r="AT16"/>
      <c r="AU16" s="8"/>
      <c r="AV16"/>
      <c r="AW16"/>
      <c r="AX16" s="8"/>
      <c r="AY16"/>
    </row>
    <row r="17" spans="1:51" s="7" customFormat="1" ht="15.75" thickBot="1" x14ac:dyDescent="0.3">
      <c r="A17" s="27">
        <v>3</v>
      </c>
      <c r="B17" s="12" t="s">
        <v>20</v>
      </c>
      <c r="C17" s="13">
        <v>0</v>
      </c>
      <c r="D17" s="43">
        <v>3</v>
      </c>
      <c r="E17" s="43">
        <v>24</v>
      </c>
      <c r="F17" s="43">
        <v>89</v>
      </c>
      <c r="G17" s="43">
        <v>154</v>
      </c>
      <c r="H17" s="43">
        <v>407</v>
      </c>
      <c r="I17" s="43">
        <v>448</v>
      </c>
      <c r="J17" s="43">
        <v>569</v>
      </c>
      <c r="K17" s="43">
        <v>5663</v>
      </c>
      <c r="L17" s="43">
        <v>6051</v>
      </c>
      <c r="M17" s="69">
        <v>6943</v>
      </c>
      <c r="N17" s="43">
        <v>6987</v>
      </c>
      <c r="O17" s="69">
        <f>N17+417</f>
        <v>7404</v>
      </c>
      <c r="P17" s="43">
        <f>O17+70</f>
        <v>7474</v>
      </c>
      <c r="Q17" s="43">
        <f>P17+493</f>
        <v>7967</v>
      </c>
      <c r="R17" s="43">
        <f>Q17+1043</f>
        <v>9010</v>
      </c>
      <c r="S17" s="43">
        <f>R17+325</f>
        <v>9335</v>
      </c>
      <c r="T17" s="82">
        <f>S17+857</f>
        <v>10192</v>
      </c>
      <c r="U17" s="69">
        <f>T17+1201</f>
        <v>11393</v>
      </c>
      <c r="V17" s="194">
        <f>U17+1923</f>
        <v>13316</v>
      </c>
      <c r="W17" s="194">
        <f>V17+2041+561</f>
        <v>15918</v>
      </c>
      <c r="X17" s="194">
        <f>W17+2778+48</f>
        <v>18744</v>
      </c>
      <c r="Y17" s="194">
        <f>X17+168+630</f>
        <v>19542</v>
      </c>
      <c r="Z17" s="194">
        <f>Y17+0+510</f>
        <v>20052</v>
      </c>
      <c r="AA17" s="194">
        <f>Z17+0+832</f>
        <v>20884</v>
      </c>
      <c r="AB17" s="194">
        <f>AA17+0+836</f>
        <v>21720</v>
      </c>
      <c r="AC17" s="194">
        <f>AB17+0+837</f>
        <v>22557</v>
      </c>
      <c r="AD17" s="194">
        <f>AC17+243+517</f>
        <v>23317</v>
      </c>
      <c r="AE17" s="194">
        <f>AD17+610+0+69</f>
        <v>23996</v>
      </c>
      <c r="AF17" s="194">
        <f>AE17+574+767+10</f>
        <v>25347</v>
      </c>
      <c r="AG17" s="194">
        <f>AF17+12+1890</f>
        <v>27249</v>
      </c>
      <c r="AH17" s="194">
        <f>AG17+1+539</f>
        <v>27789</v>
      </c>
      <c r="AI17" s="194">
        <f>AH17+1397+288+666</f>
        <v>30140</v>
      </c>
      <c r="AJ17" s="194">
        <f>AI17+28+384+486</f>
        <v>31038</v>
      </c>
      <c r="AK17" s="194">
        <f>AJ17+30+0+104</f>
        <v>31172</v>
      </c>
      <c r="AL17" s="194">
        <f>AK17+112+0+24+0</f>
        <v>31308</v>
      </c>
      <c r="AM17" s="194">
        <f>AL17+382+0+0</f>
        <v>31690</v>
      </c>
      <c r="AN17" s="194">
        <f>AM17+38+0+0</f>
        <v>31728</v>
      </c>
      <c r="AO17" s="194">
        <f>AN17+87+25+0+0</f>
        <v>31840</v>
      </c>
      <c r="AP17" s="194">
        <f>AO17+59+0+0+0</f>
        <v>31899</v>
      </c>
      <c r="AQ17" s="53"/>
      <c r="AS17" s="6"/>
      <c r="AT17"/>
      <c r="AU17" s="8"/>
      <c r="AV17"/>
      <c r="AW17"/>
      <c r="AX17" s="8"/>
      <c r="AY17"/>
    </row>
    <row r="18" spans="1:51" x14ac:dyDescent="0.25">
      <c r="A18" s="23" t="s">
        <v>59</v>
      </c>
      <c r="B18" s="24"/>
      <c r="C18" s="25">
        <f>C14</f>
        <v>0</v>
      </c>
      <c r="D18" s="25">
        <f t="shared" ref="D18:K20" si="42">D14-C14</f>
        <v>350</v>
      </c>
      <c r="E18" s="25">
        <f t="shared" si="42"/>
        <v>581</v>
      </c>
      <c r="F18" s="25">
        <f t="shared" si="42"/>
        <v>178</v>
      </c>
      <c r="G18" s="25">
        <f t="shared" si="42"/>
        <v>1156</v>
      </c>
      <c r="H18" s="25">
        <f t="shared" si="42"/>
        <v>2503</v>
      </c>
      <c r="I18" s="25">
        <f t="shared" si="42"/>
        <v>416</v>
      </c>
      <c r="J18" s="25">
        <f t="shared" si="42"/>
        <v>920</v>
      </c>
      <c r="K18" s="25">
        <f t="shared" si="42"/>
        <v>3520</v>
      </c>
      <c r="L18" s="25">
        <f t="shared" ref="L18:Q18" si="43">L14-K14</f>
        <v>981</v>
      </c>
      <c r="M18" s="70">
        <f t="shared" si="43"/>
        <v>830</v>
      </c>
      <c r="N18" s="25">
        <f t="shared" si="43"/>
        <v>749</v>
      </c>
      <c r="O18" s="70">
        <f t="shared" si="43"/>
        <v>737</v>
      </c>
      <c r="P18" s="25">
        <f t="shared" si="43"/>
        <v>550</v>
      </c>
      <c r="Q18" s="25">
        <f t="shared" si="43"/>
        <v>712</v>
      </c>
      <c r="R18" s="25">
        <f t="shared" ref="R18:AI18" si="44">R14-Q14</f>
        <v>1111</v>
      </c>
      <c r="S18" s="25">
        <f t="shared" si="44"/>
        <v>544</v>
      </c>
      <c r="T18" s="83">
        <f t="shared" si="44"/>
        <v>620</v>
      </c>
      <c r="U18" s="70">
        <f t="shared" si="44"/>
        <v>926</v>
      </c>
      <c r="V18" s="188">
        <f t="shared" si="44"/>
        <v>1354</v>
      </c>
      <c r="W18" s="188">
        <f t="shared" si="44"/>
        <v>1717</v>
      </c>
      <c r="X18" s="188">
        <f t="shared" si="44"/>
        <v>1347</v>
      </c>
      <c r="Y18" s="188">
        <f t="shared" si="44"/>
        <v>1131</v>
      </c>
      <c r="Z18" s="188">
        <f t="shared" si="44"/>
        <v>696</v>
      </c>
      <c r="AA18" s="188">
        <f t="shared" si="44"/>
        <v>2182</v>
      </c>
      <c r="AB18" s="188">
        <f t="shared" si="44"/>
        <v>1694</v>
      </c>
      <c r="AC18" s="188">
        <f t="shared" si="44"/>
        <v>925</v>
      </c>
      <c r="AD18" s="188">
        <f t="shared" si="44"/>
        <v>1105</v>
      </c>
      <c r="AE18" s="188">
        <f t="shared" si="44"/>
        <v>1656</v>
      </c>
      <c r="AF18" s="188">
        <f t="shared" si="44"/>
        <v>2199</v>
      </c>
      <c r="AG18" s="188">
        <f t="shared" si="44"/>
        <v>1730</v>
      </c>
      <c r="AH18" s="188">
        <f t="shared" si="44"/>
        <v>1669</v>
      </c>
      <c r="AI18" s="188">
        <f t="shared" si="44"/>
        <v>3968</v>
      </c>
      <c r="AJ18" s="188">
        <f t="shared" ref="AJ18:AP21" si="45">AJ14-AI14</f>
        <v>2336</v>
      </c>
      <c r="AK18" s="188">
        <f t="shared" si="45"/>
        <v>754</v>
      </c>
      <c r="AL18" s="188">
        <f t="shared" si="45"/>
        <v>617</v>
      </c>
      <c r="AM18" s="188">
        <f t="shared" si="45"/>
        <v>722</v>
      </c>
      <c r="AN18" s="188">
        <f t="shared" si="45"/>
        <v>1124</v>
      </c>
      <c r="AO18" s="188">
        <f t="shared" si="45"/>
        <v>1703</v>
      </c>
      <c r="AP18" s="188">
        <f t="shared" si="45"/>
        <v>1248</v>
      </c>
      <c r="AQ18" s="51"/>
      <c r="AS18" s="6"/>
      <c r="AU18" s="8"/>
      <c r="AY18" s="8"/>
    </row>
    <row r="19" spans="1:51" x14ac:dyDescent="0.25">
      <c r="A19" s="23" t="s">
        <v>26</v>
      </c>
      <c r="B19" s="24"/>
      <c r="C19" s="25">
        <f>C15</f>
        <v>0</v>
      </c>
      <c r="D19" s="25">
        <f t="shared" si="42"/>
        <v>41</v>
      </c>
      <c r="E19" s="25">
        <f t="shared" si="42"/>
        <v>114</v>
      </c>
      <c r="F19" s="25">
        <f t="shared" si="42"/>
        <v>360</v>
      </c>
      <c r="G19" s="25">
        <f t="shared" si="42"/>
        <v>128</v>
      </c>
      <c r="H19" s="25">
        <f t="shared" si="42"/>
        <v>874</v>
      </c>
      <c r="I19" s="25">
        <f t="shared" si="42"/>
        <v>94</v>
      </c>
      <c r="J19" s="25">
        <f t="shared" si="42"/>
        <v>76</v>
      </c>
      <c r="K19" s="25">
        <f t="shared" si="42"/>
        <v>1084</v>
      </c>
      <c r="L19" s="25">
        <f t="shared" ref="L19:Q20" si="46">L15-K15</f>
        <v>119</v>
      </c>
      <c r="M19" s="70">
        <f t="shared" si="46"/>
        <v>178</v>
      </c>
      <c r="N19" s="25">
        <f t="shared" si="46"/>
        <v>70</v>
      </c>
      <c r="O19" s="70">
        <f t="shared" si="46"/>
        <v>28</v>
      </c>
      <c r="P19" s="25">
        <f t="shared" si="46"/>
        <v>31</v>
      </c>
      <c r="Q19" s="25">
        <f t="shared" si="46"/>
        <v>121</v>
      </c>
      <c r="R19" s="25">
        <f t="shared" ref="R19:AI19" si="47">R15-Q15</f>
        <v>233</v>
      </c>
      <c r="S19" s="25">
        <f t="shared" si="47"/>
        <v>90</v>
      </c>
      <c r="T19" s="83">
        <f t="shared" si="47"/>
        <v>189</v>
      </c>
      <c r="U19" s="70">
        <f t="shared" si="47"/>
        <v>139</v>
      </c>
      <c r="V19" s="191">
        <f t="shared" si="47"/>
        <v>271</v>
      </c>
      <c r="W19" s="191">
        <f t="shared" si="47"/>
        <v>302</v>
      </c>
      <c r="X19" s="191">
        <f t="shared" si="47"/>
        <v>228</v>
      </c>
      <c r="Y19" s="191">
        <f t="shared" si="47"/>
        <v>110</v>
      </c>
      <c r="Z19" s="191">
        <f t="shared" si="47"/>
        <v>23</v>
      </c>
      <c r="AA19" s="191">
        <f t="shared" si="47"/>
        <v>32</v>
      </c>
      <c r="AB19" s="191">
        <f t="shared" si="47"/>
        <v>49</v>
      </c>
      <c r="AC19" s="191">
        <f t="shared" si="47"/>
        <v>12</v>
      </c>
      <c r="AD19" s="191">
        <f t="shared" si="47"/>
        <v>55</v>
      </c>
      <c r="AE19" s="191">
        <f t="shared" si="47"/>
        <v>82</v>
      </c>
      <c r="AF19" s="191">
        <f t="shared" si="47"/>
        <v>268</v>
      </c>
      <c r="AG19" s="191">
        <f t="shared" si="47"/>
        <v>76</v>
      </c>
      <c r="AH19" s="191">
        <f t="shared" si="47"/>
        <v>185</v>
      </c>
      <c r="AI19" s="191">
        <f t="shared" si="47"/>
        <v>133</v>
      </c>
      <c r="AJ19" s="191">
        <f t="shared" si="45"/>
        <v>163</v>
      </c>
      <c r="AK19" s="191">
        <f t="shared" si="45"/>
        <v>12</v>
      </c>
      <c r="AL19" s="191">
        <f t="shared" si="45"/>
        <v>23</v>
      </c>
      <c r="AM19" s="191">
        <f t="shared" si="45"/>
        <v>4</v>
      </c>
      <c r="AN19" s="191">
        <f t="shared" si="45"/>
        <v>8</v>
      </c>
      <c r="AO19" s="191">
        <f t="shared" si="45"/>
        <v>8</v>
      </c>
      <c r="AP19" s="191">
        <f t="shared" si="45"/>
        <v>0</v>
      </c>
      <c r="AQ19" s="51"/>
      <c r="AS19" s="6"/>
      <c r="AU19" s="8"/>
      <c r="AY19" s="8"/>
    </row>
    <row r="20" spans="1:51" x14ac:dyDescent="0.25">
      <c r="A20" s="23" t="s">
        <v>192</v>
      </c>
      <c r="B20" s="24"/>
      <c r="C20" s="25">
        <f>C16</f>
        <v>0</v>
      </c>
      <c r="D20" s="25">
        <f t="shared" si="42"/>
        <v>41</v>
      </c>
      <c r="E20" s="25">
        <f t="shared" si="42"/>
        <v>114</v>
      </c>
      <c r="F20" s="25">
        <f t="shared" si="42"/>
        <v>360</v>
      </c>
      <c r="G20" s="25">
        <f t="shared" si="42"/>
        <v>128</v>
      </c>
      <c r="H20" s="25">
        <f t="shared" si="42"/>
        <v>874</v>
      </c>
      <c r="I20" s="25">
        <f t="shared" si="42"/>
        <v>94</v>
      </c>
      <c r="J20" s="25">
        <f t="shared" si="42"/>
        <v>76</v>
      </c>
      <c r="K20" s="25">
        <f t="shared" si="42"/>
        <v>1084</v>
      </c>
      <c r="L20" s="25">
        <f t="shared" si="46"/>
        <v>119</v>
      </c>
      <c r="M20" s="70">
        <f t="shared" si="46"/>
        <v>178</v>
      </c>
      <c r="N20" s="25">
        <f t="shared" si="46"/>
        <v>70</v>
      </c>
      <c r="O20" s="70">
        <f t="shared" si="46"/>
        <v>28</v>
      </c>
      <c r="P20" s="25">
        <f t="shared" si="46"/>
        <v>31</v>
      </c>
      <c r="Q20" s="25">
        <f t="shared" si="46"/>
        <v>121</v>
      </c>
      <c r="R20" s="25">
        <f>R16-Q16</f>
        <v>233</v>
      </c>
      <c r="S20" s="25">
        <f>S16-R16</f>
        <v>90</v>
      </c>
      <c r="T20" s="83">
        <f>T16-S16</f>
        <v>189</v>
      </c>
      <c r="U20" s="70">
        <f>U16-T16</f>
        <v>139</v>
      </c>
      <c r="V20" s="192">
        <v>0</v>
      </c>
      <c r="W20" s="192">
        <v>0</v>
      </c>
      <c r="X20" s="192">
        <v>0</v>
      </c>
      <c r="Y20" s="192">
        <v>0</v>
      </c>
      <c r="Z20" s="192">
        <v>0</v>
      </c>
      <c r="AA20" s="192">
        <v>0</v>
      </c>
      <c r="AB20" s="192">
        <v>0</v>
      </c>
      <c r="AC20" s="192">
        <v>0</v>
      </c>
      <c r="AD20" s="192">
        <v>0</v>
      </c>
      <c r="AE20" s="192">
        <v>0</v>
      </c>
      <c r="AF20" s="192">
        <v>0</v>
      </c>
      <c r="AG20" s="192">
        <v>0</v>
      </c>
      <c r="AH20" s="191">
        <f>AH16-AG16</f>
        <v>11</v>
      </c>
      <c r="AI20" s="191">
        <f>AI16-AH16</f>
        <v>40</v>
      </c>
      <c r="AJ20" s="191">
        <f t="shared" si="45"/>
        <v>17</v>
      </c>
      <c r="AK20" s="191">
        <f t="shared" si="45"/>
        <v>8</v>
      </c>
      <c r="AL20" s="191">
        <f t="shared" si="45"/>
        <v>2</v>
      </c>
      <c r="AM20" s="191">
        <f t="shared" si="45"/>
        <v>0</v>
      </c>
      <c r="AN20" s="191">
        <f t="shared" si="45"/>
        <v>0</v>
      </c>
      <c r="AO20" s="191">
        <f t="shared" si="45"/>
        <v>1</v>
      </c>
      <c r="AP20" s="191">
        <f t="shared" si="45"/>
        <v>0</v>
      </c>
      <c r="AQ20" s="51"/>
      <c r="AS20" s="6"/>
      <c r="AU20" s="8"/>
      <c r="AY20" s="8"/>
    </row>
    <row r="21" spans="1:51" ht="15.75" thickBot="1" x14ac:dyDescent="0.3">
      <c r="A21" s="45" t="s">
        <v>23</v>
      </c>
      <c r="B21" s="46"/>
      <c r="C21" s="47">
        <f>C17</f>
        <v>0</v>
      </c>
      <c r="D21" s="47">
        <f>D17-C17</f>
        <v>3</v>
      </c>
      <c r="E21" s="47">
        <f t="shared" ref="E21:K21" si="48">E17-D17</f>
        <v>21</v>
      </c>
      <c r="F21" s="47">
        <f t="shared" si="48"/>
        <v>65</v>
      </c>
      <c r="G21" s="47">
        <f t="shared" si="48"/>
        <v>65</v>
      </c>
      <c r="H21" s="47">
        <f t="shared" si="48"/>
        <v>253</v>
      </c>
      <c r="I21" s="47">
        <f t="shared" si="48"/>
        <v>41</v>
      </c>
      <c r="J21" s="47">
        <f t="shared" si="48"/>
        <v>121</v>
      </c>
      <c r="K21" s="47">
        <f t="shared" si="48"/>
        <v>5094</v>
      </c>
      <c r="L21" s="47">
        <f t="shared" ref="L21" si="49">L17-K17</f>
        <v>388</v>
      </c>
      <c r="M21" s="71">
        <f t="shared" ref="M21:N21" si="50">M17-L17</f>
        <v>892</v>
      </c>
      <c r="N21" s="47">
        <f t="shared" si="50"/>
        <v>44</v>
      </c>
      <c r="O21" s="71">
        <f t="shared" ref="O21:Q21" si="51">O17-N17</f>
        <v>417</v>
      </c>
      <c r="P21" s="47">
        <f t="shared" si="51"/>
        <v>70</v>
      </c>
      <c r="Q21" s="47">
        <f t="shared" si="51"/>
        <v>493</v>
      </c>
      <c r="R21" s="47">
        <f t="shared" ref="R21" si="52">R17-Q17</f>
        <v>1043</v>
      </c>
      <c r="S21" s="47">
        <f t="shared" ref="S21" si="53">S17-R17</f>
        <v>325</v>
      </c>
      <c r="T21" s="84">
        <f t="shared" ref="T21:U21" si="54">T17-S17</f>
        <v>857</v>
      </c>
      <c r="U21" s="71">
        <f t="shared" si="54"/>
        <v>1201</v>
      </c>
      <c r="V21" s="193">
        <f t="shared" ref="V21:Y21" si="55">V17-U17</f>
        <v>1923</v>
      </c>
      <c r="W21" s="193">
        <f t="shared" si="55"/>
        <v>2602</v>
      </c>
      <c r="X21" s="193">
        <f t="shared" si="55"/>
        <v>2826</v>
      </c>
      <c r="Y21" s="193">
        <f t="shared" si="55"/>
        <v>798</v>
      </c>
      <c r="Z21" s="193">
        <f t="shared" ref="Z21:AA21" si="56">Z17-Y17</f>
        <v>510</v>
      </c>
      <c r="AA21" s="193">
        <f t="shared" si="56"/>
        <v>832</v>
      </c>
      <c r="AB21" s="193">
        <f t="shared" ref="AB21:AC21" si="57">AB17-AA17</f>
        <v>836</v>
      </c>
      <c r="AC21" s="193">
        <f t="shared" si="57"/>
        <v>837</v>
      </c>
      <c r="AD21" s="193">
        <f t="shared" ref="AD21:AE21" si="58">AD17-AC17</f>
        <v>760</v>
      </c>
      <c r="AE21" s="193">
        <f t="shared" si="58"/>
        <v>679</v>
      </c>
      <c r="AF21" s="193">
        <f t="shared" ref="AF21" si="59">AF17-AE17</f>
        <v>1351</v>
      </c>
      <c r="AG21" s="193">
        <f t="shared" ref="AG21:AI21" si="60">AG17-AF17</f>
        <v>1902</v>
      </c>
      <c r="AH21" s="193">
        <f t="shared" si="60"/>
        <v>540</v>
      </c>
      <c r="AI21" s="193">
        <f t="shared" si="60"/>
        <v>2351</v>
      </c>
      <c r="AJ21" s="193">
        <f t="shared" si="45"/>
        <v>898</v>
      </c>
      <c r="AK21" s="193">
        <f t="shared" si="45"/>
        <v>134</v>
      </c>
      <c r="AL21" s="193">
        <f t="shared" si="45"/>
        <v>136</v>
      </c>
      <c r="AM21" s="193">
        <f t="shared" si="45"/>
        <v>382</v>
      </c>
      <c r="AN21" s="193">
        <f t="shared" si="45"/>
        <v>38</v>
      </c>
      <c r="AO21" s="193">
        <f t="shared" si="45"/>
        <v>112</v>
      </c>
      <c r="AP21" s="193">
        <f t="shared" si="45"/>
        <v>59</v>
      </c>
      <c r="AQ21" s="54"/>
      <c r="AS21" s="6"/>
      <c r="AU21" s="8"/>
      <c r="AY21" s="8"/>
    </row>
    <row r="22" spans="1:51" ht="15.75" thickBot="1" x14ac:dyDescent="0.3">
      <c r="AS22" s="6"/>
      <c r="AV22" s="6"/>
    </row>
    <row r="23" spans="1:51" ht="15.75" thickBot="1" x14ac:dyDescent="0.3">
      <c r="A23" s="56" t="s">
        <v>41</v>
      </c>
      <c r="B23" s="186"/>
      <c r="C23" s="196"/>
      <c r="D23" s="196"/>
      <c r="E23" s="196"/>
      <c r="F23" s="196"/>
      <c r="G23" s="196"/>
      <c r="H23" s="196"/>
      <c r="I23" s="196"/>
      <c r="J23" s="196"/>
      <c r="K23" s="196"/>
      <c r="L23" s="196"/>
      <c r="M23" s="196"/>
      <c r="N23" s="196"/>
      <c r="O23" s="196"/>
      <c r="P23" s="265"/>
      <c r="Q23" s="266"/>
      <c r="R23" s="265"/>
      <c r="S23" s="266"/>
      <c r="T23" s="265"/>
      <c r="U23" s="266"/>
      <c r="V23" s="265"/>
      <c r="W23" s="266"/>
      <c r="X23" s="265"/>
      <c r="Y23" s="266"/>
      <c r="Z23" s="265"/>
      <c r="AA23" s="266"/>
      <c r="AB23" s="235"/>
      <c r="AC23" s="235"/>
      <c r="AD23" s="235"/>
      <c r="AE23" s="235"/>
      <c r="AF23" s="235"/>
      <c r="AG23" s="235"/>
      <c r="AH23" s="235"/>
      <c r="AI23" s="235"/>
      <c r="AJ23" s="235"/>
      <c r="AK23" s="235"/>
      <c r="AL23" s="235"/>
      <c r="AM23" s="244"/>
      <c r="AN23" s="245"/>
      <c r="AO23" s="215"/>
      <c r="AP23" s="215"/>
      <c r="AQ23" s="215"/>
      <c r="AS23" s="6"/>
      <c r="AV23" s="6"/>
    </row>
    <row r="24" spans="1:51" x14ac:dyDescent="0.25">
      <c r="A24" s="197">
        <v>1</v>
      </c>
      <c r="B24" s="271" t="s">
        <v>240</v>
      </c>
      <c r="C24" s="272"/>
      <c r="D24" s="272"/>
      <c r="E24" s="272"/>
      <c r="F24" s="272"/>
      <c r="G24" s="272"/>
      <c r="H24" s="272"/>
      <c r="I24" s="272"/>
      <c r="J24" s="272"/>
      <c r="K24" s="272"/>
      <c r="L24" s="272"/>
      <c r="M24" s="272"/>
      <c r="N24" s="272"/>
      <c r="O24" s="272"/>
      <c r="P24" s="272"/>
      <c r="Q24" s="272"/>
      <c r="R24" s="272"/>
      <c r="S24" s="272"/>
      <c r="T24" s="272"/>
      <c r="U24" s="272"/>
      <c r="V24" s="272"/>
      <c r="W24" s="272"/>
      <c r="X24" s="272"/>
      <c r="Y24" s="272"/>
      <c r="Z24" s="272"/>
      <c r="AA24" s="272"/>
      <c r="AB24" s="272"/>
      <c r="AC24" s="272"/>
      <c r="AD24" s="272"/>
      <c r="AE24" s="272"/>
      <c r="AF24" s="272"/>
      <c r="AG24" s="272"/>
      <c r="AH24" s="272"/>
      <c r="AI24" s="272"/>
      <c r="AJ24" s="272"/>
      <c r="AK24" s="272"/>
      <c r="AL24" s="272"/>
      <c r="AM24" s="273"/>
      <c r="AN24" s="215"/>
      <c r="AO24" s="215"/>
      <c r="AP24" s="215"/>
    </row>
    <row r="25" spans="1:51" x14ac:dyDescent="0.25">
      <c r="A25" s="55">
        <v>2</v>
      </c>
      <c r="B25" s="274" t="s">
        <v>241</v>
      </c>
      <c r="C25" s="275"/>
      <c r="D25" s="275"/>
      <c r="E25" s="275"/>
      <c r="F25" s="275"/>
      <c r="G25" s="275"/>
      <c r="H25" s="275"/>
      <c r="I25" s="275"/>
      <c r="J25" s="275"/>
      <c r="K25" s="275"/>
      <c r="L25" s="275"/>
      <c r="M25" s="275"/>
      <c r="N25" s="275"/>
      <c r="O25" s="275"/>
      <c r="P25" s="275"/>
      <c r="Q25" s="275"/>
      <c r="R25" s="275"/>
      <c r="S25" s="275"/>
      <c r="T25" s="275"/>
      <c r="U25" s="275"/>
      <c r="V25" s="275"/>
      <c r="W25" s="275"/>
      <c r="X25" s="275"/>
      <c r="Y25" s="275"/>
      <c r="Z25" s="275"/>
      <c r="AA25" s="275"/>
      <c r="AB25" s="275"/>
      <c r="AC25" s="275"/>
      <c r="AD25" s="275"/>
      <c r="AE25" s="275"/>
      <c r="AF25" s="275"/>
      <c r="AG25" s="275"/>
      <c r="AH25" s="275"/>
      <c r="AI25" s="275"/>
      <c r="AJ25" s="275"/>
      <c r="AK25" s="275"/>
      <c r="AL25" s="275"/>
      <c r="AM25" s="276"/>
      <c r="AN25" s="215"/>
      <c r="AO25" s="215"/>
      <c r="AP25" s="215"/>
    </row>
    <row r="26" spans="1:51" x14ac:dyDescent="0.25">
      <c r="A26" s="55">
        <v>3</v>
      </c>
      <c r="B26" s="274" t="s">
        <v>237</v>
      </c>
      <c r="C26" s="275"/>
      <c r="D26" s="275"/>
      <c r="E26" s="275"/>
      <c r="F26" s="275"/>
      <c r="G26" s="275"/>
      <c r="H26" s="275"/>
      <c r="I26" s="275"/>
      <c r="J26" s="275"/>
      <c r="K26" s="275"/>
      <c r="L26" s="275"/>
      <c r="M26" s="275"/>
      <c r="N26" s="275"/>
      <c r="O26" s="275"/>
      <c r="P26" s="275"/>
      <c r="Q26" s="275"/>
      <c r="R26" s="275"/>
      <c r="S26" s="275"/>
      <c r="T26" s="275"/>
      <c r="U26" s="275"/>
      <c r="V26" s="275"/>
      <c r="W26" s="275"/>
      <c r="X26" s="275"/>
      <c r="Y26" s="275"/>
      <c r="Z26" s="275"/>
      <c r="AA26" s="275"/>
      <c r="AB26" s="275"/>
      <c r="AC26" s="275"/>
      <c r="AD26" s="275"/>
      <c r="AE26" s="275"/>
      <c r="AF26" s="275"/>
      <c r="AG26" s="275"/>
      <c r="AH26" s="275"/>
      <c r="AI26" s="275"/>
      <c r="AJ26" s="275"/>
      <c r="AK26" s="275"/>
      <c r="AL26" s="275"/>
      <c r="AM26" s="276"/>
      <c r="AN26" s="215"/>
      <c r="AO26" s="215"/>
      <c r="AP26" s="215"/>
    </row>
    <row r="27" spans="1:51" x14ac:dyDescent="0.25">
      <c r="A27" s="55">
        <v>4</v>
      </c>
      <c r="B27" s="274" t="s">
        <v>238</v>
      </c>
      <c r="C27" s="275"/>
      <c r="D27" s="275"/>
      <c r="E27" s="275"/>
      <c r="F27" s="275"/>
      <c r="G27" s="275"/>
      <c r="H27" s="275"/>
      <c r="I27" s="275"/>
      <c r="J27" s="275"/>
      <c r="K27" s="275"/>
      <c r="L27" s="275"/>
      <c r="M27" s="275"/>
      <c r="N27" s="275"/>
      <c r="O27" s="275"/>
      <c r="P27" s="275"/>
      <c r="Q27" s="275"/>
      <c r="R27" s="275"/>
      <c r="S27" s="275"/>
      <c r="T27" s="275"/>
      <c r="U27" s="275"/>
      <c r="V27" s="275"/>
      <c r="W27" s="275"/>
      <c r="X27" s="275"/>
      <c r="Y27" s="275"/>
      <c r="Z27" s="275"/>
      <c r="AA27" s="275"/>
      <c r="AB27" s="275"/>
      <c r="AC27" s="275"/>
      <c r="AD27" s="275"/>
      <c r="AE27" s="275"/>
      <c r="AF27" s="275"/>
      <c r="AG27" s="275"/>
      <c r="AH27" s="275"/>
      <c r="AI27" s="275"/>
      <c r="AJ27" s="275"/>
      <c r="AK27" s="275"/>
      <c r="AL27" s="275"/>
      <c r="AM27" s="276"/>
      <c r="AN27" s="215"/>
      <c r="AO27" s="215"/>
      <c r="AP27" s="215"/>
    </row>
    <row r="28" spans="1:51" x14ac:dyDescent="0.25">
      <c r="A28" s="55">
        <v>5</v>
      </c>
      <c r="B28" s="274" t="s">
        <v>195</v>
      </c>
      <c r="C28" s="275"/>
      <c r="D28" s="275"/>
      <c r="E28" s="275"/>
      <c r="F28" s="275"/>
      <c r="G28" s="275"/>
      <c r="H28" s="275"/>
      <c r="I28" s="275"/>
      <c r="J28" s="275"/>
      <c r="K28" s="275"/>
      <c r="L28" s="275"/>
      <c r="M28" s="275"/>
      <c r="N28" s="275"/>
      <c r="O28" s="275"/>
      <c r="P28" s="275"/>
      <c r="Q28" s="275"/>
      <c r="R28" s="275"/>
      <c r="S28" s="275"/>
      <c r="T28" s="275"/>
      <c r="U28" s="275"/>
      <c r="V28" s="275"/>
      <c r="W28" s="275"/>
      <c r="X28" s="275"/>
      <c r="Y28" s="275"/>
      <c r="Z28" s="275"/>
      <c r="AA28" s="275"/>
      <c r="AB28" s="275"/>
      <c r="AC28" s="275"/>
      <c r="AD28" s="275"/>
      <c r="AE28" s="275"/>
      <c r="AF28" s="275"/>
      <c r="AG28" s="275"/>
      <c r="AH28" s="275"/>
      <c r="AI28" s="275"/>
      <c r="AJ28" s="275"/>
      <c r="AK28" s="275"/>
      <c r="AL28" s="275"/>
      <c r="AM28" s="276"/>
      <c r="AN28" s="215"/>
      <c r="AO28" s="215"/>
      <c r="AP28" s="215"/>
    </row>
    <row r="29" spans="1:51" x14ac:dyDescent="0.25">
      <c r="A29" s="55">
        <v>6</v>
      </c>
      <c r="B29" s="274" t="s">
        <v>239</v>
      </c>
      <c r="C29" s="275"/>
      <c r="D29" s="275"/>
      <c r="E29" s="275"/>
      <c r="F29" s="275"/>
      <c r="G29" s="275"/>
      <c r="H29" s="275"/>
      <c r="I29" s="275"/>
      <c r="J29" s="275"/>
      <c r="K29" s="275"/>
      <c r="L29" s="275"/>
      <c r="M29" s="275"/>
      <c r="N29" s="275"/>
      <c r="O29" s="275"/>
      <c r="P29" s="275"/>
      <c r="Q29" s="275"/>
      <c r="R29" s="275"/>
      <c r="S29" s="275"/>
      <c r="T29" s="275"/>
      <c r="U29" s="275"/>
      <c r="V29" s="275"/>
      <c r="W29" s="275"/>
      <c r="X29" s="275"/>
      <c r="Y29" s="275"/>
      <c r="Z29" s="275"/>
      <c r="AA29" s="275"/>
      <c r="AB29" s="275"/>
      <c r="AC29" s="275"/>
      <c r="AD29" s="275"/>
      <c r="AE29" s="275"/>
      <c r="AF29" s="275"/>
      <c r="AG29" s="275"/>
      <c r="AH29" s="275"/>
      <c r="AI29" s="275"/>
      <c r="AJ29" s="275"/>
      <c r="AK29" s="275"/>
      <c r="AL29" s="275"/>
      <c r="AM29" s="276"/>
      <c r="AN29" s="215"/>
      <c r="AO29" s="215"/>
      <c r="AP29" s="215"/>
    </row>
    <row r="30" spans="1:51" x14ac:dyDescent="0.25">
      <c r="A30" s="55">
        <v>7</v>
      </c>
      <c r="B30" s="274" t="s">
        <v>242</v>
      </c>
      <c r="C30" s="275"/>
      <c r="D30" s="275"/>
      <c r="E30" s="275"/>
      <c r="F30" s="275"/>
      <c r="G30" s="275"/>
      <c r="H30" s="275"/>
      <c r="I30" s="275"/>
      <c r="J30" s="275"/>
      <c r="K30" s="275"/>
      <c r="L30" s="275"/>
      <c r="M30" s="275"/>
      <c r="N30" s="275"/>
      <c r="O30" s="275"/>
      <c r="P30" s="275"/>
      <c r="Q30" s="275"/>
      <c r="R30" s="275"/>
      <c r="S30" s="275"/>
      <c r="T30" s="275"/>
      <c r="U30" s="275"/>
      <c r="V30" s="275"/>
      <c r="W30" s="275"/>
      <c r="X30" s="275"/>
      <c r="Y30" s="275"/>
      <c r="Z30" s="275"/>
      <c r="AA30" s="275"/>
      <c r="AB30" s="275"/>
      <c r="AC30" s="275"/>
      <c r="AD30" s="275"/>
      <c r="AE30" s="275"/>
      <c r="AF30" s="275"/>
      <c r="AG30" s="275"/>
      <c r="AH30" s="275"/>
      <c r="AI30" s="275"/>
      <c r="AJ30" s="275"/>
      <c r="AK30" s="275"/>
      <c r="AL30" s="275"/>
      <c r="AM30" s="276"/>
      <c r="AN30" s="215"/>
      <c r="AO30" s="215"/>
      <c r="AP30" s="215"/>
    </row>
    <row r="31" spans="1:51" x14ac:dyDescent="0.25">
      <c r="A31" s="55">
        <v>8</v>
      </c>
      <c r="B31" s="274" t="s">
        <v>52</v>
      </c>
      <c r="C31" s="275"/>
      <c r="D31" s="275"/>
      <c r="E31" s="275"/>
      <c r="F31" s="275"/>
      <c r="G31" s="275"/>
      <c r="H31" s="275"/>
      <c r="I31" s="275"/>
      <c r="J31" s="275"/>
      <c r="K31" s="275"/>
      <c r="L31" s="275"/>
      <c r="M31" s="275"/>
      <c r="N31" s="275"/>
      <c r="O31" s="275"/>
      <c r="P31" s="275"/>
      <c r="Q31" s="275"/>
      <c r="R31" s="275"/>
      <c r="S31" s="275"/>
      <c r="T31" s="275"/>
      <c r="U31" s="275"/>
      <c r="V31" s="275"/>
      <c r="W31" s="275"/>
      <c r="X31" s="275"/>
      <c r="Y31" s="275"/>
      <c r="Z31" s="275"/>
      <c r="AA31" s="275"/>
      <c r="AB31" s="275"/>
      <c r="AC31" s="275"/>
      <c r="AD31" s="275"/>
      <c r="AE31" s="275"/>
      <c r="AF31" s="275"/>
      <c r="AG31" s="275"/>
      <c r="AH31" s="275"/>
      <c r="AI31" s="275"/>
      <c r="AJ31" s="275"/>
      <c r="AK31" s="275"/>
      <c r="AL31" s="275"/>
      <c r="AM31" s="276"/>
      <c r="AN31" s="215"/>
      <c r="AO31" s="215"/>
      <c r="AP31" s="215"/>
    </row>
    <row r="32" spans="1:51" x14ac:dyDescent="0.25">
      <c r="A32" s="55">
        <v>9</v>
      </c>
      <c r="B32" s="274" t="s">
        <v>79</v>
      </c>
      <c r="C32" s="275"/>
      <c r="D32" s="275"/>
      <c r="E32" s="275"/>
      <c r="F32" s="275"/>
      <c r="G32" s="275"/>
      <c r="H32" s="275"/>
      <c r="I32" s="275"/>
      <c r="J32" s="275"/>
      <c r="K32" s="275"/>
      <c r="L32" s="275"/>
      <c r="M32" s="275"/>
      <c r="N32" s="275"/>
      <c r="O32" s="275"/>
      <c r="P32" s="275"/>
      <c r="Q32" s="275"/>
      <c r="R32" s="275"/>
      <c r="S32" s="275"/>
      <c r="T32" s="275"/>
      <c r="U32" s="275"/>
      <c r="V32" s="275"/>
      <c r="W32" s="275"/>
      <c r="X32" s="275"/>
      <c r="Y32" s="275"/>
      <c r="Z32" s="275"/>
      <c r="AA32" s="275"/>
      <c r="AB32" s="275"/>
      <c r="AC32" s="275"/>
      <c r="AD32" s="275"/>
      <c r="AE32" s="275"/>
      <c r="AF32" s="275"/>
      <c r="AG32" s="275"/>
      <c r="AH32" s="275"/>
      <c r="AI32" s="275"/>
      <c r="AJ32" s="275"/>
      <c r="AK32" s="275"/>
      <c r="AL32" s="275"/>
      <c r="AM32" s="276"/>
      <c r="AN32" s="215"/>
      <c r="AO32" s="215"/>
      <c r="AP32" s="215"/>
    </row>
    <row r="33" spans="1:51" x14ac:dyDescent="0.25">
      <c r="A33" s="55">
        <v>10</v>
      </c>
      <c r="B33" s="274" t="s">
        <v>196</v>
      </c>
      <c r="C33" s="275"/>
      <c r="D33" s="275"/>
      <c r="E33" s="275"/>
      <c r="F33" s="275"/>
      <c r="G33" s="275"/>
      <c r="H33" s="275"/>
      <c r="I33" s="275"/>
      <c r="J33" s="275"/>
      <c r="K33" s="275"/>
      <c r="L33" s="275"/>
      <c r="M33" s="275"/>
      <c r="N33" s="275"/>
      <c r="O33" s="275"/>
      <c r="P33" s="275"/>
      <c r="Q33" s="275"/>
      <c r="R33" s="275"/>
      <c r="S33" s="275"/>
      <c r="T33" s="275"/>
      <c r="U33" s="275"/>
      <c r="V33" s="275"/>
      <c r="W33" s="275"/>
      <c r="X33" s="275"/>
      <c r="Y33" s="275"/>
      <c r="Z33" s="275"/>
      <c r="AA33" s="275"/>
      <c r="AB33" s="275"/>
      <c r="AC33" s="275"/>
      <c r="AD33" s="275"/>
      <c r="AE33" s="275"/>
      <c r="AF33" s="275"/>
      <c r="AG33" s="275"/>
      <c r="AH33" s="275"/>
      <c r="AI33" s="275"/>
      <c r="AJ33" s="275"/>
      <c r="AK33" s="275"/>
      <c r="AL33" s="275"/>
      <c r="AM33" s="276"/>
      <c r="AN33" s="215"/>
      <c r="AO33" s="215"/>
      <c r="AP33" s="215"/>
    </row>
    <row r="34" spans="1:51" s="1" customFormat="1" ht="15.75" thickBot="1" x14ac:dyDescent="0.3">
      <c r="A34" s="195"/>
      <c r="B34" s="267"/>
      <c r="C34" s="268"/>
      <c r="D34" s="268"/>
      <c r="E34" s="268"/>
      <c r="F34" s="268"/>
      <c r="G34" s="268"/>
      <c r="H34" s="268"/>
      <c r="I34" s="268"/>
      <c r="J34" s="268"/>
      <c r="K34" s="268"/>
      <c r="L34" s="268"/>
      <c r="M34" s="268"/>
      <c r="N34" s="268"/>
      <c r="O34" s="268"/>
      <c r="P34" s="268"/>
      <c r="Q34" s="269"/>
      <c r="R34" s="269"/>
      <c r="S34" s="269"/>
      <c r="T34" s="269"/>
      <c r="U34" s="269"/>
      <c r="V34" s="269"/>
      <c r="W34" s="269"/>
      <c r="X34" s="269"/>
      <c r="Y34" s="269"/>
      <c r="Z34" s="269"/>
      <c r="AA34" s="269"/>
      <c r="AB34" s="269"/>
      <c r="AC34" s="269"/>
      <c r="AD34" s="269"/>
      <c r="AE34" s="269"/>
      <c r="AF34" s="269"/>
      <c r="AG34" s="269"/>
      <c r="AH34" s="269"/>
      <c r="AI34" s="269"/>
      <c r="AJ34" s="269"/>
      <c r="AK34" s="269"/>
      <c r="AL34" s="269"/>
      <c r="AM34" s="270"/>
      <c r="AN34" s="85"/>
      <c r="AO34" s="85"/>
      <c r="AP34" s="85"/>
      <c r="AQ34"/>
      <c r="AR34"/>
      <c r="AS34"/>
      <c r="AT34"/>
      <c r="AU34"/>
      <c r="AV34"/>
      <c r="AW34"/>
      <c r="AX34"/>
      <c r="AY34"/>
    </row>
    <row r="35" spans="1:51" s="1" customFormat="1" x14ac:dyDescent="0.25">
      <c r="A35" s="216"/>
      <c r="B35" s="8"/>
      <c r="C35"/>
      <c r="D35"/>
      <c r="E35"/>
      <c r="F35"/>
      <c r="G35"/>
      <c r="H35"/>
      <c r="I35" s="18"/>
      <c r="AQ35"/>
      <c r="AR35"/>
      <c r="AS35"/>
      <c r="AT35"/>
      <c r="AU35"/>
      <c r="AV35"/>
      <c r="AW35"/>
      <c r="AX35"/>
      <c r="AY35"/>
    </row>
    <row r="36" spans="1:51" s="1" customFormat="1" x14ac:dyDescent="0.25">
      <c r="A36" s="2"/>
      <c r="B36" s="8"/>
      <c r="C36"/>
      <c r="D36"/>
      <c r="E36"/>
      <c r="F36" s="8"/>
      <c r="G36" s="8"/>
      <c r="H36"/>
      <c r="I36" s="18"/>
      <c r="AQ36"/>
      <c r="AR36"/>
      <c r="AS36"/>
      <c r="AT36"/>
      <c r="AU36"/>
      <c r="AV36"/>
      <c r="AW36"/>
      <c r="AX36"/>
      <c r="AY36"/>
    </row>
    <row r="37" spans="1:51" s="1" customFormat="1" x14ac:dyDescent="0.25">
      <c r="A37" s="2"/>
      <c r="B37" s="8"/>
      <c r="C37"/>
      <c r="D37"/>
      <c r="E37"/>
      <c r="F37"/>
      <c r="G37"/>
      <c r="H37"/>
      <c r="I37" s="18"/>
      <c r="AQ37"/>
      <c r="AR37"/>
      <c r="AS37"/>
      <c r="AT37"/>
      <c r="AU37"/>
      <c r="AV37"/>
      <c r="AW37"/>
      <c r="AX37"/>
      <c r="AY37"/>
    </row>
    <row r="38" spans="1:51" s="1" customFormat="1" x14ac:dyDescent="0.25">
      <c r="A38" s="2"/>
      <c r="B38" s="8"/>
      <c r="C38"/>
      <c r="D38"/>
      <c r="E38"/>
      <c r="F38"/>
      <c r="G38"/>
      <c r="H38" s="8"/>
      <c r="I38" s="18"/>
      <c r="AQ38"/>
      <c r="AR38"/>
      <c r="AS38"/>
      <c r="AT38"/>
      <c r="AU38"/>
      <c r="AV38"/>
      <c r="AW38"/>
      <c r="AX38"/>
      <c r="AY38"/>
    </row>
    <row r="39" spans="1:51" s="1" customFormat="1" x14ac:dyDescent="0.25">
      <c r="A39" s="2"/>
      <c r="B39"/>
      <c r="E39" s="8"/>
      <c r="F39"/>
      <c r="G39"/>
      <c r="H39"/>
      <c r="AQ39"/>
      <c r="AR39"/>
      <c r="AS39"/>
      <c r="AT39"/>
      <c r="AU39"/>
      <c r="AV39"/>
      <c r="AW39"/>
      <c r="AX39"/>
      <c r="AY39"/>
    </row>
    <row r="40" spans="1:51" s="1" customFormat="1" x14ac:dyDescent="0.25">
      <c r="A40" s="2"/>
      <c r="B40"/>
      <c r="E40"/>
      <c r="F40"/>
      <c r="G40"/>
      <c r="H40" s="8"/>
      <c r="AQ40"/>
      <c r="AR40"/>
      <c r="AS40"/>
      <c r="AT40"/>
      <c r="AU40"/>
      <c r="AV40"/>
      <c r="AW40"/>
      <c r="AX40"/>
      <c r="AY40"/>
    </row>
    <row r="41" spans="1:51" s="1" customFormat="1" x14ac:dyDescent="0.25">
      <c r="A41" s="2"/>
      <c r="B41"/>
      <c r="E41"/>
      <c r="F41"/>
      <c r="G41"/>
      <c r="H41"/>
      <c r="AQ41"/>
      <c r="AR41"/>
      <c r="AS41"/>
      <c r="AT41"/>
      <c r="AU41"/>
      <c r="AV41"/>
      <c r="AW41"/>
      <c r="AX41"/>
      <c r="AY41"/>
    </row>
  </sheetData>
  <mergeCells count="17">
    <mergeCell ref="B34:AM34"/>
    <mergeCell ref="B24:AM24"/>
    <mergeCell ref="B25:AM25"/>
    <mergeCell ref="B26:AM26"/>
    <mergeCell ref="B27:AM27"/>
    <mergeCell ref="B28:AM28"/>
    <mergeCell ref="B29:AM29"/>
    <mergeCell ref="B30:AM30"/>
    <mergeCell ref="B31:AM31"/>
    <mergeCell ref="B32:AM32"/>
    <mergeCell ref="B33:AM33"/>
    <mergeCell ref="P23:Q23"/>
    <mergeCell ref="X23:Y23"/>
    <mergeCell ref="Z23:AA23"/>
    <mergeCell ref="T23:U23"/>
    <mergeCell ref="V23:W23"/>
    <mergeCell ref="R23:S23"/>
  </mergeCells>
  <pageMargins left="0.7" right="0.7" top="0.75" bottom="0.75" header="0.3" footer="0.3"/>
  <pageSetup paperSize="8" scale="56"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
  <sheetViews>
    <sheetView zoomScaleNormal="100" workbookViewId="0">
      <selection activeCell="L32" sqref="L32"/>
    </sheetView>
  </sheetViews>
  <sheetFormatPr defaultRowHeight="15" x14ac:dyDescent="0.25"/>
  <cols>
    <col min="1" max="1" width="18.5703125" customWidth="1"/>
    <col min="2" max="2" width="9.85546875" customWidth="1"/>
  </cols>
  <sheetData/>
  <pageMargins left="0.7" right="0.7" top="0.75" bottom="0.75" header="0.3" footer="0.3"/>
  <pageSetup paperSize="9" scale="88" fitToHeight="0"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Z107"/>
  <sheetViews>
    <sheetView zoomScaleNormal="100" workbookViewId="0"/>
  </sheetViews>
  <sheetFormatPr defaultRowHeight="15" x14ac:dyDescent="0.25"/>
  <cols>
    <col min="1" max="1" width="15.42578125" customWidth="1"/>
    <col min="2" max="25" width="6.7109375" customWidth="1"/>
    <col min="26" max="26" width="11.7109375" customWidth="1"/>
  </cols>
  <sheetData>
    <row r="1" spans="1:26" ht="18.75" x14ac:dyDescent="0.3">
      <c r="A1" s="112" t="s">
        <v>210</v>
      </c>
      <c r="B1" s="113"/>
      <c r="C1" s="113"/>
      <c r="D1" s="113"/>
      <c r="E1" s="113"/>
      <c r="F1" s="113"/>
      <c r="G1" s="113"/>
      <c r="H1" s="113"/>
      <c r="I1" s="113"/>
      <c r="J1" s="113"/>
      <c r="K1" s="113"/>
      <c r="L1" s="113"/>
      <c r="M1" s="113"/>
      <c r="N1" s="113"/>
      <c r="O1" s="113"/>
      <c r="P1" s="113"/>
      <c r="Q1" s="113"/>
      <c r="R1" s="113"/>
      <c r="S1" s="113"/>
      <c r="T1" s="113"/>
      <c r="U1" s="113"/>
      <c r="V1" s="113"/>
      <c r="W1" s="113"/>
      <c r="X1" s="113"/>
      <c r="Y1" s="113"/>
      <c r="Z1" s="114"/>
    </row>
    <row r="2" spans="1:26" ht="15.75" thickBot="1" x14ac:dyDescent="0.3">
      <c r="A2" s="115"/>
      <c r="B2" s="116"/>
      <c r="C2" s="116"/>
      <c r="D2" s="116"/>
      <c r="E2" s="116"/>
      <c r="F2" s="116"/>
      <c r="G2" s="116"/>
      <c r="H2" s="116"/>
      <c r="I2" s="116"/>
      <c r="J2" s="116"/>
      <c r="K2" s="116"/>
      <c r="L2" s="116"/>
      <c r="M2" s="116"/>
      <c r="N2" s="116"/>
      <c r="O2" s="116"/>
      <c r="P2" s="116"/>
      <c r="Q2" s="116"/>
      <c r="R2" s="116"/>
      <c r="S2" s="116"/>
      <c r="T2" s="116"/>
      <c r="U2" s="116"/>
      <c r="V2" s="116"/>
      <c r="W2" s="116"/>
      <c r="X2" s="116"/>
      <c r="Y2" s="116"/>
      <c r="Z2" s="118"/>
    </row>
    <row r="3" spans="1:26" ht="15.75" thickBot="1" x14ac:dyDescent="0.3">
      <c r="A3" s="117" t="s">
        <v>98</v>
      </c>
      <c r="B3" s="277" t="s">
        <v>86</v>
      </c>
      <c r="C3" s="278"/>
      <c r="D3" s="277" t="s">
        <v>87</v>
      </c>
      <c r="E3" s="278"/>
      <c r="F3" s="277" t="s">
        <v>88</v>
      </c>
      <c r="G3" s="278"/>
      <c r="H3" s="277" t="s">
        <v>89</v>
      </c>
      <c r="I3" s="278"/>
      <c r="J3" s="277" t="s">
        <v>90</v>
      </c>
      <c r="K3" s="278"/>
      <c r="L3" s="277" t="s">
        <v>91</v>
      </c>
      <c r="M3" s="278"/>
      <c r="N3" s="277" t="s">
        <v>92</v>
      </c>
      <c r="O3" s="278"/>
      <c r="P3" s="277" t="s">
        <v>93</v>
      </c>
      <c r="Q3" s="278"/>
      <c r="R3" s="277" t="s">
        <v>94</v>
      </c>
      <c r="S3" s="278"/>
      <c r="T3" s="277" t="s">
        <v>95</v>
      </c>
      <c r="U3" s="278"/>
      <c r="V3" s="277" t="s">
        <v>96</v>
      </c>
      <c r="W3" s="278"/>
      <c r="X3" s="277" t="s">
        <v>97</v>
      </c>
      <c r="Y3" s="278"/>
      <c r="Z3" s="279" t="s">
        <v>105</v>
      </c>
    </row>
    <row r="4" spans="1:26" ht="15.75" thickBot="1" x14ac:dyDescent="0.3">
      <c r="A4" s="121" t="s">
        <v>107</v>
      </c>
      <c r="B4" s="119" t="s">
        <v>103</v>
      </c>
      <c r="C4" s="120" t="s">
        <v>104</v>
      </c>
      <c r="D4" s="119" t="s">
        <v>103</v>
      </c>
      <c r="E4" s="120" t="s">
        <v>104</v>
      </c>
      <c r="F4" s="119" t="s">
        <v>103</v>
      </c>
      <c r="G4" s="120" t="s">
        <v>104</v>
      </c>
      <c r="H4" s="119" t="s">
        <v>103</v>
      </c>
      <c r="I4" s="120" t="s">
        <v>104</v>
      </c>
      <c r="J4" s="119" t="s">
        <v>103</v>
      </c>
      <c r="K4" s="120" t="s">
        <v>104</v>
      </c>
      <c r="L4" s="119" t="s">
        <v>103</v>
      </c>
      <c r="M4" s="120" t="s">
        <v>104</v>
      </c>
      <c r="N4" s="119" t="s">
        <v>103</v>
      </c>
      <c r="O4" s="120" t="s">
        <v>104</v>
      </c>
      <c r="P4" s="119" t="s">
        <v>103</v>
      </c>
      <c r="Q4" s="120" t="s">
        <v>104</v>
      </c>
      <c r="R4" s="119" t="s">
        <v>103</v>
      </c>
      <c r="S4" s="120" t="s">
        <v>104</v>
      </c>
      <c r="T4" s="119" t="s">
        <v>103</v>
      </c>
      <c r="U4" s="120" t="s">
        <v>104</v>
      </c>
      <c r="V4" s="119" t="s">
        <v>103</v>
      </c>
      <c r="W4" s="120" t="s">
        <v>104</v>
      </c>
      <c r="X4" s="119" t="s">
        <v>103</v>
      </c>
      <c r="Y4" s="120" t="s">
        <v>104</v>
      </c>
      <c r="Z4" s="280"/>
    </row>
    <row r="5" spans="1:26" x14ac:dyDescent="0.25">
      <c r="A5" s="93" t="s">
        <v>1</v>
      </c>
      <c r="B5" s="100">
        <v>8</v>
      </c>
      <c r="C5" s="135">
        <v>4</v>
      </c>
      <c r="D5" s="100">
        <v>6</v>
      </c>
      <c r="E5" s="136">
        <v>4</v>
      </c>
      <c r="F5" s="100">
        <v>2</v>
      </c>
      <c r="G5" s="136">
        <v>3</v>
      </c>
      <c r="H5" s="100">
        <v>0</v>
      </c>
      <c r="I5" s="136"/>
      <c r="J5" s="100">
        <v>0</v>
      </c>
      <c r="K5" s="136"/>
      <c r="L5" s="100">
        <v>79</v>
      </c>
      <c r="M5" s="101">
        <v>3</v>
      </c>
      <c r="N5" s="100"/>
      <c r="O5" s="101"/>
      <c r="P5" s="102"/>
      <c r="Q5" s="101"/>
      <c r="R5" s="102"/>
      <c r="S5" s="101"/>
      <c r="T5" s="102"/>
      <c r="U5" s="101"/>
      <c r="V5" s="100"/>
      <c r="W5" s="101"/>
      <c r="X5" s="100"/>
      <c r="Y5" s="101"/>
      <c r="Z5" s="99">
        <f t="shared" ref="Z5:Z11" si="0">B5+D5+F5+H5+J5+L5+N5+P5+R5+T5+V5+X5</f>
        <v>95</v>
      </c>
    </row>
    <row r="6" spans="1:26" x14ac:dyDescent="0.25">
      <c r="A6" s="94" t="s">
        <v>77</v>
      </c>
      <c r="B6" s="103">
        <v>0</v>
      </c>
      <c r="C6" s="136"/>
      <c r="D6" s="103">
        <v>0</v>
      </c>
      <c r="E6" s="136"/>
      <c r="F6" s="103">
        <v>0</v>
      </c>
      <c r="G6" s="136"/>
      <c r="H6" s="103">
        <v>0</v>
      </c>
      <c r="I6" s="136"/>
      <c r="J6" s="103">
        <v>0</v>
      </c>
      <c r="K6" s="136"/>
      <c r="L6" s="103">
        <v>0</v>
      </c>
      <c r="M6" s="104"/>
      <c r="N6" s="103"/>
      <c r="O6" s="104"/>
      <c r="P6" s="105"/>
      <c r="Q6" s="104"/>
      <c r="R6" s="105"/>
      <c r="S6" s="104"/>
      <c r="T6" s="105"/>
      <c r="U6" s="104"/>
      <c r="V6" s="103"/>
      <c r="W6" s="104"/>
      <c r="X6" s="103"/>
      <c r="Y6" s="104"/>
      <c r="Z6" s="111">
        <f t="shared" si="0"/>
        <v>0</v>
      </c>
    </row>
    <row r="7" spans="1:26" x14ac:dyDescent="0.25">
      <c r="A7" s="94" t="s">
        <v>33</v>
      </c>
      <c r="B7" s="103">
        <v>276</v>
      </c>
      <c r="C7" s="104">
        <v>2</v>
      </c>
      <c r="D7" s="103">
        <v>124</v>
      </c>
      <c r="E7" s="104">
        <v>2</v>
      </c>
      <c r="F7" s="103">
        <v>6</v>
      </c>
      <c r="G7" s="104">
        <v>2</v>
      </c>
      <c r="H7" s="103">
        <v>0</v>
      </c>
      <c r="I7" s="104"/>
      <c r="J7" s="103">
        <v>96</v>
      </c>
      <c r="K7" s="104">
        <v>3</v>
      </c>
      <c r="L7" s="103">
        <v>41</v>
      </c>
      <c r="M7" s="104">
        <v>4</v>
      </c>
      <c r="N7" s="103"/>
      <c r="O7" s="104"/>
      <c r="P7" s="105"/>
      <c r="Q7" s="104"/>
      <c r="R7" s="105"/>
      <c r="S7" s="104"/>
      <c r="T7" s="105"/>
      <c r="U7" s="104"/>
      <c r="V7" s="103"/>
      <c r="W7" s="104"/>
      <c r="X7" s="103"/>
      <c r="Y7" s="104"/>
      <c r="Z7" s="111">
        <f t="shared" si="0"/>
        <v>543</v>
      </c>
    </row>
    <row r="8" spans="1:26" x14ac:dyDescent="0.25">
      <c r="A8" s="94" t="s">
        <v>2</v>
      </c>
      <c r="B8" s="103">
        <v>77</v>
      </c>
      <c r="C8" s="104">
        <v>3</v>
      </c>
      <c r="D8" s="103">
        <v>55</v>
      </c>
      <c r="E8" s="136">
        <v>3</v>
      </c>
      <c r="F8" s="103">
        <v>0</v>
      </c>
      <c r="G8" s="136"/>
      <c r="H8" s="103">
        <v>0</v>
      </c>
      <c r="I8" s="136"/>
      <c r="J8" s="103">
        <v>0</v>
      </c>
      <c r="K8" s="136"/>
      <c r="L8" s="103">
        <v>0</v>
      </c>
      <c r="M8" s="104"/>
      <c r="N8" s="103"/>
      <c r="O8" s="104"/>
      <c r="P8" s="105"/>
      <c r="Q8" s="104"/>
      <c r="R8" s="105"/>
      <c r="S8" s="104"/>
      <c r="T8" s="105"/>
      <c r="U8" s="104"/>
      <c r="V8" s="103"/>
      <c r="W8" s="104"/>
      <c r="X8" s="103"/>
      <c r="Y8" s="104"/>
      <c r="Z8" s="111">
        <f t="shared" si="0"/>
        <v>132</v>
      </c>
    </row>
    <row r="9" spans="1:26" x14ac:dyDescent="0.25">
      <c r="A9" s="94" t="s">
        <v>3</v>
      </c>
      <c r="B9" s="103">
        <v>0</v>
      </c>
      <c r="C9" s="136"/>
      <c r="D9" s="103">
        <v>0</v>
      </c>
      <c r="E9" s="136"/>
      <c r="F9" s="103">
        <v>0</v>
      </c>
      <c r="G9" s="136"/>
      <c r="H9" s="103">
        <v>37</v>
      </c>
      <c r="I9" s="136">
        <v>2</v>
      </c>
      <c r="J9" s="103">
        <v>599</v>
      </c>
      <c r="K9" s="136">
        <v>2</v>
      </c>
      <c r="L9" s="103">
        <v>80</v>
      </c>
      <c r="M9" s="104">
        <v>2</v>
      </c>
      <c r="N9" s="103"/>
      <c r="O9" s="104"/>
      <c r="P9" s="105"/>
      <c r="Q9" s="104"/>
      <c r="R9" s="105"/>
      <c r="S9" s="104"/>
      <c r="T9" s="105"/>
      <c r="U9" s="104"/>
      <c r="V9" s="103"/>
      <c r="W9" s="104"/>
      <c r="X9" s="103"/>
      <c r="Y9" s="104"/>
      <c r="Z9" s="111">
        <f t="shared" si="0"/>
        <v>716</v>
      </c>
    </row>
    <row r="10" spans="1:26" x14ac:dyDescent="0.25">
      <c r="A10" s="94" t="s">
        <v>4</v>
      </c>
      <c r="B10" s="103">
        <v>405</v>
      </c>
      <c r="C10" s="104">
        <v>1</v>
      </c>
      <c r="D10" s="103">
        <v>363</v>
      </c>
      <c r="E10" s="104">
        <v>1</v>
      </c>
      <c r="F10" s="103">
        <v>627</v>
      </c>
      <c r="G10" s="104">
        <v>1</v>
      </c>
      <c r="H10" s="103">
        <v>1037</v>
      </c>
      <c r="I10" s="104">
        <v>1</v>
      </c>
      <c r="J10" s="103">
        <v>829</v>
      </c>
      <c r="K10" s="104">
        <v>1</v>
      </c>
      <c r="L10" s="103">
        <v>456</v>
      </c>
      <c r="M10" s="104">
        <v>1</v>
      </c>
      <c r="N10" s="103"/>
      <c r="O10" s="104"/>
      <c r="P10" s="105"/>
      <c r="Q10" s="104"/>
      <c r="R10" s="105"/>
      <c r="S10" s="104"/>
      <c r="T10" s="105"/>
      <c r="U10" s="104"/>
      <c r="V10" s="103"/>
      <c r="W10" s="104"/>
      <c r="X10" s="103"/>
      <c r="Y10" s="104"/>
      <c r="Z10" s="111">
        <f t="shared" si="0"/>
        <v>3717</v>
      </c>
    </row>
    <row r="11" spans="1:26" x14ac:dyDescent="0.25">
      <c r="A11" s="94" t="s">
        <v>82</v>
      </c>
      <c r="B11" s="151">
        <v>0</v>
      </c>
      <c r="C11" s="152"/>
      <c r="D11" s="151">
        <v>92</v>
      </c>
      <c r="E11" s="152"/>
      <c r="F11" s="151">
        <v>91</v>
      </c>
      <c r="G11" s="152"/>
      <c r="H11" s="151">
        <v>58</v>
      </c>
      <c r="I11" s="152"/>
      <c r="J11" s="151">
        <v>187</v>
      </c>
      <c r="K11" s="153"/>
      <c r="L11" s="151">
        <v>592</v>
      </c>
      <c r="M11" s="153"/>
      <c r="N11" s="151"/>
      <c r="O11" s="153"/>
      <c r="P11" s="154"/>
      <c r="Q11" s="155"/>
      <c r="R11" s="154"/>
      <c r="S11" s="155"/>
      <c r="T11" s="154"/>
      <c r="U11" s="155"/>
      <c r="V11" s="151"/>
      <c r="W11" s="153"/>
      <c r="X11" s="151"/>
      <c r="Y11" s="155"/>
      <c r="Z11" s="156">
        <f t="shared" si="0"/>
        <v>1020</v>
      </c>
    </row>
    <row r="12" spans="1:26" ht="15.75" thickBot="1" x14ac:dyDescent="0.3">
      <c r="A12" s="94"/>
      <c r="B12" s="107"/>
      <c r="C12" s="108"/>
      <c r="D12" s="109"/>
      <c r="E12" s="110"/>
      <c r="F12" s="107"/>
      <c r="G12" s="108"/>
      <c r="H12" s="109"/>
      <c r="I12" s="110"/>
      <c r="J12" s="107"/>
      <c r="K12" s="108"/>
      <c r="L12" s="109"/>
      <c r="M12" s="110"/>
      <c r="N12" s="107"/>
      <c r="O12" s="108"/>
      <c r="P12" s="109"/>
      <c r="Q12" s="110"/>
      <c r="R12" s="107"/>
      <c r="S12" s="108"/>
      <c r="T12" s="109"/>
      <c r="U12" s="110"/>
      <c r="V12" s="107"/>
      <c r="W12" s="108"/>
      <c r="X12" s="109"/>
      <c r="Y12" s="110"/>
      <c r="Z12" s="106"/>
    </row>
    <row r="13" spans="1:26" ht="15.75" thickBot="1" x14ac:dyDescent="0.3">
      <c r="A13" s="128" t="s">
        <v>53</v>
      </c>
      <c r="B13" s="132">
        <f>SUM(B5:B12)</f>
        <v>766</v>
      </c>
      <c r="C13" s="131"/>
      <c r="D13" s="132">
        <f>SUM(D5:D12)</f>
        <v>640</v>
      </c>
      <c r="E13" s="131"/>
      <c r="F13" s="132">
        <f>SUM(F5:F12)</f>
        <v>726</v>
      </c>
      <c r="G13" s="131"/>
      <c r="H13" s="132">
        <f>SUM(H5:H12)</f>
        <v>1132</v>
      </c>
      <c r="I13" s="131"/>
      <c r="J13" s="132">
        <f>SUM(J5:J12)</f>
        <v>1711</v>
      </c>
      <c r="K13" s="131"/>
      <c r="L13" s="132">
        <f>SUM(L5:L12)</f>
        <v>1248</v>
      </c>
      <c r="M13" s="131"/>
      <c r="N13" s="132">
        <f>SUM(N5:N12)</f>
        <v>0</v>
      </c>
      <c r="O13" s="131"/>
      <c r="P13" s="132">
        <f>SUM(P5:P12)</f>
        <v>0</v>
      </c>
      <c r="Q13" s="131"/>
      <c r="R13" s="132">
        <f>SUM(R5:R12)</f>
        <v>0</v>
      </c>
      <c r="S13" s="131"/>
      <c r="T13" s="132">
        <f>SUM(T5:T12)</f>
        <v>0</v>
      </c>
      <c r="U13" s="131"/>
      <c r="V13" s="132">
        <f>SUM(V5:V12)</f>
        <v>0</v>
      </c>
      <c r="W13" s="131"/>
      <c r="X13" s="132">
        <f>SUM(X5:X12)</f>
        <v>0</v>
      </c>
      <c r="Y13" s="131"/>
      <c r="Z13" s="132">
        <f>SUM(Z5:Z12)</f>
        <v>6223</v>
      </c>
    </row>
    <row r="14" spans="1:26" ht="15.75" thickBot="1" x14ac:dyDescent="0.3">
      <c r="A14" s="129" t="s">
        <v>193</v>
      </c>
      <c r="B14" s="133">
        <v>8</v>
      </c>
      <c r="C14" s="134"/>
      <c r="D14" s="133">
        <v>2</v>
      </c>
      <c r="E14" s="134"/>
      <c r="F14" s="133">
        <v>0</v>
      </c>
      <c r="G14" s="134"/>
      <c r="H14" s="133">
        <v>0</v>
      </c>
      <c r="I14" s="134"/>
      <c r="J14" s="133">
        <v>0</v>
      </c>
      <c r="K14" s="134"/>
      <c r="L14" s="133">
        <v>0</v>
      </c>
      <c r="M14" s="134"/>
      <c r="N14" s="133">
        <v>0</v>
      </c>
      <c r="O14" s="134"/>
      <c r="P14" s="133">
        <v>0</v>
      </c>
      <c r="Q14" s="134"/>
      <c r="R14" s="133">
        <v>0</v>
      </c>
      <c r="S14" s="134"/>
      <c r="T14" s="133">
        <v>0</v>
      </c>
      <c r="U14" s="134"/>
      <c r="V14" s="133">
        <v>0</v>
      </c>
      <c r="W14" s="134"/>
      <c r="X14" s="133">
        <v>0</v>
      </c>
      <c r="Y14" s="130"/>
      <c r="Z14" s="133">
        <f>B14+D14+F14+H14+J14+L14+N14+P14+R14+T14+V14+X14</f>
        <v>10</v>
      </c>
    </row>
    <row r="15" spans="1:26" ht="15.75" thickBot="1" x14ac:dyDescent="0.3">
      <c r="A15" s="129" t="s">
        <v>108</v>
      </c>
      <c r="B15" s="133">
        <v>112</v>
      </c>
      <c r="C15" s="134"/>
      <c r="D15" s="133">
        <v>136</v>
      </c>
      <c r="E15" s="134"/>
      <c r="F15" s="133">
        <v>382</v>
      </c>
      <c r="G15" s="134"/>
      <c r="H15" s="133">
        <v>38</v>
      </c>
      <c r="I15" s="134"/>
      <c r="J15" s="133">
        <v>0</v>
      </c>
      <c r="K15" s="134"/>
      <c r="L15" s="133">
        <v>0</v>
      </c>
      <c r="M15" s="134"/>
      <c r="N15" s="133">
        <v>0</v>
      </c>
      <c r="O15" s="134"/>
      <c r="P15" s="133">
        <v>0</v>
      </c>
      <c r="Q15" s="134"/>
      <c r="R15" s="133">
        <v>0</v>
      </c>
      <c r="S15" s="134"/>
      <c r="T15" s="133">
        <v>0</v>
      </c>
      <c r="U15" s="134"/>
      <c r="V15" s="133">
        <v>0</v>
      </c>
      <c r="W15" s="134"/>
      <c r="X15" s="133">
        <v>0</v>
      </c>
      <c r="Y15" s="130"/>
      <c r="Z15" s="133">
        <f>B15+D15+F15+H15+J15+L15+N15+P15+R15+T15+V15+X15</f>
        <v>668</v>
      </c>
    </row>
    <row r="16" spans="1:26" ht="15.75" thickBot="1" x14ac:dyDescent="0.3"/>
    <row r="17" spans="1:26" ht="18.75" x14ac:dyDescent="0.3">
      <c r="A17" s="122" t="s">
        <v>100</v>
      </c>
      <c r="B17" s="123"/>
      <c r="C17" s="123"/>
      <c r="D17" s="123"/>
      <c r="E17" s="123"/>
      <c r="F17" s="123"/>
      <c r="G17" s="123"/>
      <c r="H17" s="123"/>
      <c r="I17" s="123"/>
      <c r="J17" s="123"/>
      <c r="K17" s="123"/>
      <c r="L17" s="123"/>
      <c r="M17" s="123"/>
      <c r="N17" s="123"/>
      <c r="O17" s="123"/>
      <c r="P17" s="123"/>
      <c r="Q17" s="123"/>
      <c r="R17" s="123"/>
      <c r="S17" s="123"/>
      <c r="T17" s="123"/>
      <c r="U17" s="123"/>
      <c r="V17" s="123"/>
      <c r="W17" s="123"/>
      <c r="X17" s="123"/>
      <c r="Y17" s="123"/>
      <c r="Z17" s="124"/>
    </row>
    <row r="18" spans="1:26" ht="15.75" thickBot="1" x14ac:dyDescent="0.3">
      <c r="A18" s="125"/>
      <c r="B18" s="126"/>
      <c r="C18" s="126"/>
      <c r="D18" s="126"/>
      <c r="E18" s="126"/>
      <c r="F18" s="126"/>
      <c r="G18" s="126"/>
      <c r="H18" s="126"/>
      <c r="I18" s="126"/>
      <c r="J18" s="126"/>
      <c r="K18" s="126"/>
      <c r="L18" s="126"/>
      <c r="M18" s="126"/>
      <c r="N18" s="126"/>
      <c r="O18" s="126"/>
      <c r="P18" s="126"/>
      <c r="Q18" s="126"/>
      <c r="R18" s="126"/>
      <c r="S18" s="126"/>
      <c r="T18" s="126"/>
      <c r="U18" s="126"/>
      <c r="V18" s="126"/>
      <c r="W18" s="126"/>
      <c r="X18" s="126"/>
      <c r="Y18" s="126"/>
      <c r="Z18" s="127"/>
    </row>
    <row r="19" spans="1:26" ht="15.75" thickBot="1" x14ac:dyDescent="0.3">
      <c r="A19" s="117" t="s">
        <v>98</v>
      </c>
      <c r="B19" s="277" t="s">
        <v>86</v>
      </c>
      <c r="C19" s="278"/>
      <c r="D19" s="277" t="s">
        <v>87</v>
      </c>
      <c r="E19" s="278"/>
      <c r="F19" s="277" t="s">
        <v>88</v>
      </c>
      <c r="G19" s="278"/>
      <c r="H19" s="277" t="s">
        <v>89</v>
      </c>
      <c r="I19" s="278"/>
      <c r="J19" s="277" t="s">
        <v>90</v>
      </c>
      <c r="K19" s="278"/>
      <c r="L19" s="277" t="s">
        <v>91</v>
      </c>
      <c r="M19" s="278"/>
      <c r="N19" s="277" t="s">
        <v>92</v>
      </c>
      <c r="O19" s="278"/>
      <c r="P19" s="277" t="s">
        <v>93</v>
      </c>
      <c r="Q19" s="278"/>
      <c r="R19" s="277" t="s">
        <v>94</v>
      </c>
      <c r="S19" s="278"/>
      <c r="T19" s="277" t="s">
        <v>95</v>
      </c>
      <c r="U19" s="278"/>
      <c r="V19" s="277" t="s">
        <v>96</v>
      </c>
      <c r="W19" s="278"/>
      <c r="X19" s="277" t="s">
        <v>97</v>
      </c>
      <c r="Y19" s="278"/>
      <c r="Z19" s="279" t="s">
        <v>105</v>
      </c>
    </row>
    <row r="20" spans="1:26" ht="15.75" thickBot="1" x14ac:dyDescent="0.3">
      <c r="A20" s="121" t="s">
        <v>107</v>
      </c>
      <c r="B20" s="119" t="s">
        <v>103</v>
      </c>
      <c r="C20" s="120" t="s">
        <v>104</v>
      </c>
      <c r="D20" s="119" t="s">
        <v>103</v>
      </c>
      <c r="E20" s="120" t="s">
        <v>104</v>
      </c>
      <c r="F20" s="119" t="s">
        <v>103</v>
      </c>
      <c r="G20" s="120" t="s">
        <v>104</v>
      </c>
      <c r="H20" s="119" t="s">
        <v>103</v>
      </c>
      <c r="I20" s="120" t="s">
        <v>104</v>
      </c>
      <c r="J20" s="119" t="s">
        <v>103</v>
      </c>
      <c r="K20" s="120" t="s">
        <v>104</v>
      </c>
      <c r="L20" s="119" t="s">
        <v>103</v>
      </c>
      <c r="M20" s="120" t="s">
        <v>104</v>
      </c>
      <c r="N20" s="119" t="s">
        <v>103</v>
      </c>
      <c r="O20" s="120" t="s">
        <v>104</v>
      </c>
      <c r="P20" s="119" t="s">
        <v>103</v>
      </c>
      <c r="Q20" s="120" t="s">
        <v>104</v>
      </c>
      <c r="R20" s="119" t="s">
        <v>103</v>
      </c>
      <c r="S20" s="120" t="s">
        <v>104</v>
      </c>
      <c r="T20" s="119" t="s">
        <v>103</v>
      </c>
      <c r="U20" s="120" t="s">
        <v>104</v>
      </c>
      <c r="V20" s="119" t="s">
        <v>103</v>
      </c>
      <c r="W20" s="120" t="s">
        <v>104</v>
      </c>
      <c r="X20" s="119" t="s">
        <v>103</v>
      </c>
      <c r="Y20" s="120" t="s">
        <v>104</v>
      </c>
      <c r="Z20" s="280"/>
    </row>
    <row r="21" spans="1:26" x14ac:dyDescent="0.25">
      <c r="A21" s="93" t="s">
        <v>1</v>
      </c>
      <c r="B21" s="100">
        <v>0</v>
      </c>
      <c r="C21" s="135" t="s">
        <v>109</v>
      </c>
      <c r="D21" s="100">
        <v>0</v>
      </c>
      <c r="E21" s="136" t="s">
        <v>109</v>
      </c>
      <c r="F21" s="100">
        <v>0</v>
      </c>
      <c r="G21" s="136" t="s">
        <v>109</v>
      </c>
      <c r="H21" s="100">
        <v>0</v>
      </c>
      <c r="I21" s="136" t="s">
        <v>109</v>
      </c>
      <c r="J21" s="100">
        <v>0</v>
      </c>
      <c r="K21" s="136" t="s">
        <v>109</v>
      </c>
      <c r="L21" s="100">
        <v>209</v>
      </c>
      <c r="M21" s="101">
        <v>3</v>
      </c>
      <c r="N21" s="100">
        <v>1045</v>
      </c>
      <c r="O21" s="101">
        <v>1</v>
      </c>
      <c r="P21" s="102">
        <v>1311</v>
      </c>
      <c r="Q21" s="101">
        <v>1</v>
      </c>
      <c r="R21" s="102">
        <v>784</v>
      </c>
      <c r="S21" s="101">
        <v>1</v>
      </c>
      <c r="T21" s="102">
        <v>295</v>
      </c>
      <c r="U21" s="101">
        <v>3</v>
      </c>
      <c r="V21" s="100">
        <v>910</v>
      </c>
      <c r="W21" s="101">
        <v>2</v>
      </c>
      <c r="X21" s="100">
        <v>519</v>
      </c>
      <c r="Y21" s="101">
        <v>3</v>
      </c>
      <c r="Z21" s="99">
        <f t="shared" ref="Z21:Z27" si="1">B21+D21+F21+H21+J21+L21+N21+P21+R21+T21+V21+X21</f>
        <v>5073</v>
      </c>
    </row>
    <row r="22" spans="1:26" x14ac:dyDescent="0.25">
      <c r="A22" s="94" t="s">
        <v>77</v>
      </c>
      <c r="B22" s="103">
        <v>0</v>
      </c>
      <c r="C22" s="136" t="s">
        <v>109</v>
      </c>
      <c r="D22" s="103">
        <v>0</v>
      </c>
      <c r="E22" s="136" t="s">
        <v>109</v>
      </c>
      <c r="F22" s="103">
        <v>0</v>
      </c>
      <c r="G22" s="136" t="s">
        <v>109</v>
      </c>
      <c r="H22" s="103">
        <v>0</v>
      </c>
      <c r="I22" s="136" t="s">
        <v>109</v>
      </c>
      <c r="J22" s="103">
        <v>0</v>
      </c>
      <c r="K22" s="136" t="s">
        <v>109</v>
      </c>
      <c r="L22" s="103">
        <v>0</v>
      </c>
      <c r="M22" s="104"/>
      <c r="N22" s="103">
        <v>0</v>
      </c>
      <c r="O22" s="104"/>
      <c r="P22" s="105">
        <v>0</v>
      </c>
      <c r="Q22" s="104"/>
      <c r="R22" s="105">
        <v>0</v>
      </c>
      <c r="S22" s="104"/>
      <c r="T22" s="105">
        <v>0</v>
      </c>
      <c r="U22" s="104"/>
      <c r="V22" s="103">
        <v>0</v>
      </c>
      <c r="W22" s="104"/>
      <c r="X22" s="103">
        <v>0</v>
      </c>
      <c r="Y22" s="104"/>
      <c r="Z22" s="111">
        <f t="shared" si="1"/>
        <v>0</v>
      </c>
    </row>
    <row r="23" spans="1:26" x14ac:dyDescent="0.25">
      <c r="A23" s="94" t="s">
        <v>33</v>
      </c>
      <c r="B23" s="103">
        <v>653</v>
      </c>
      <c r="C23" s="104">
        <v>1</v>
      </c>
      <c r="D23" s="103">
        <v>269</v>
      </c>
      <c r="E23" s="104">
        <v>2</v>
      </c>
      <c r="F23" s="103">
        <v>232</v>
      </c>
      <c r="G23" s="104">
        <v>2</v>
      </c>
      <c r="H23" s="103">
        <v>205</v>
      </c>
      <c r="I23" s="104">
        <v>2</v>
      </c>
      <c r="J23" s="103">
        <v>339</v>
      </c>
      <c r="K23" s="104">
        <v>2</v>
      </c>
      <c r="L23" s="103">
        <v>304</v>
      </c>
      <c r="M23" s="104">
        <v>2</v>
      </c>
      <c r="N23" s="103">
        <v>155</v>
      </c>
      <c r="O23" s="104">
        <v>3</v>
      </c>
      <c r="P23" s="105">
        <v>661</v>
      </c>
      <c r="Q23" s="104">
        <v>2</v>
      </c>
      <c r="R23" s="105">
        <v>162</v>
      </c>
      <c r="S23" s="104">
        <v>4</v>
      </c>
      <c r="T23" s="105">
        <v>78</v>
      </c>
      <c r="U23" s="104">
        <v>4</v>
      </c>
      <c r="V23" s="103">
        <v>450</v>
      </c>
      <c r="W23" s="104">
        <v>4</v>
      </c>
      <c r="X23" s="103">
        <v>554</v>
      </c>
      <c r="Y23" s="104">
        <v>2</v>
      </c>
      <c r="Z23" s="111">
        <f t="shared" si="1"/>
        <v>4062</v>
      </c>
    </row>
    <row r="24" spans="1:26" x14ac:dyDescent="0.25">
      <c r="A24" s="94" t="s">
        <v>2</v>
      </c>
      <c r="B24" s="103">
        <v>1</v>
      </c>
      <c r="C24" s="104">
        <v>3</v>
      </c>
      <c r="D24" s="103">
        <v>0</v>
      </c>
      <c r="E24" s="136" t="s">
        <v>109</v>
      </c>
      <c r="F24" s="103">
        <v>0</v>
      </c>
      <c r="G24" s="136" t="s">
        <v>109</v>
      </c>
      <c r="H24" s="103">
        <v>0</v>
      </c>
      <c r="I24" s="136" t="s">
        <v>109</v>
      </c>
      <c r="J24" s="103">
        <v>0</v>
      </c>
      <c r="K24" s="136" t="s">
        <v>109</v>
      </c>
      <c r="L24" s="103">
        <v>0</v>
      </c>
      <c r="M24" s="104"/>
      <c r="N24" s="103">
        <v>0</v>
      </c>
      <c r="O24" s="104"/>
      <c r="P24" s="105">
        <v>20</v>
      </c>
      <c r="Q24" s="104">
        <v>4</v>
      </c>
      <c r="R24" s="105">
        <v>535</v>
      </c>
      <c r="S24" s="104">
        <v>2</v>
      </c>
      <c r="T24" s="105">
        <v>685</v>
      </c>
      <c r="U24" s="104">
        <v>2</v>
      </c>
      <c r="V24" s="103">
        <v>753</v>
      </c>
      <c r="W24" s="104">
        <v>3</v>
      </c>
      <c r="X24" s="103">
        <v>507</v>
      </c>
      <c r="Y24" s="104">
        <v>4</v>
      </c>
      <c r="Z24" s="111">
        <f t="shared" si="1"/>
        <v>2501</v>
      </c>
    </row>
    <row r="25" spans="1:26" x14ac:dyDescent="0.25">
      <c r="A25" s="94" t="s">
        <v>3</v>
      </c>
      <c r="B25" s="103">
        <v>0</v>
      </c>
      <c r="C25" s="136" t="s">
        <v>109</v>
      </c>
      <c r="D25" s="103">
        <v>0</v>
      </c>
      <c r="E25" s="136" t="s">
        <v>109</v>
      </c>
      <c r="F25" s="103">
        <v>0</v>
      </c>
      <c r="G25" s="136" t="s">
        <v>109</v>
      </c>
      <c r="H25" s="103">
        <v>0</v>
      </c>
      <c r="I25" s="136" t="s">
        <v>109</v>
      </c>
      <c r="J25" s="103">
        <v>0</v>
      </c>
      <c r="K25" s="136" t="s">
        <v>109</v>
      </c>
      <c r="L25" s="103">
        <v>0</v>
      </c>
      <c r="M25" s="104"/>
      <c r="N25" s="103">
        <v>0</v>
      </c>
      <c r="O25" s="104"/>
      <c r="P25" s="105">
        <v>0</v>
      </c>
      <c r="Q25" s="104"/>
      <c r="R25" s="105">
        <v>0</v>
      </c>
      <c r="S25" s="104"/>
      <c r="T25" s="105">
        <v>0</v>
      </c>
      <c r="U25" s="104"/>
      <c r="V25" s="103">
        <v>0</v>
      </c>
      <c r="W25" s="104"/>
      <c r="X25" s="103">
        <v>0</v>
      </c>
      <c r="Y25" s="104"/>
      <c r="Z25" s="111">
        <f t="shared" si="1"/>
        <v>0</v>
      </c>
    </row>
    <row r="26" spans="1:26" x14ac:dyDescent="0.25">
      <c r="A26" s="94" t="s">
        <v>4</v>
      </c>
      <c r="B26" s="103">
        <v>587</v>
      </c>
      <c r="C26" s="104">
        <v>2</v>
      </c>
      <c r="D26" s="103">
        <v>450</v>
      </c>
      <c r="E26" s="104">
        <v>1</v>
      </c>
      <c r="F26" s="103">
        <v>1982</v>
      </c>
      <c r="G26" s="104">
        <v>1</v>
      </c>
      <c r="H26" s="103">
        <v>1500</v>
      </c>
      <c r="I26" s="104">
        <v>1</v>
      </c>
      <c r="J26" s="103">
        <v>582</v>
      </c>
      <c r="K26" s="104">
        <v>1</v>
      </c>
      <c r="L26" s="103">
        <v>596</v>
      </c>
      <c r="M26" s="104">
        <v>1</v>
      </c>
      <c r="N26" s="103">
        <v>487</v>
      </c>
      <c r="O26" s="104">
        <v>2</v>
      </c>
      <c r="P26" s="105">
        <v>431</v>
      </c>
      <c r="Q26" s="104">
        <v>3</v>
      </c>
      <c r="R26" s="105">
        <v>293</v>
      </c>
      <c r="S26" s="104">
        <v>3</v>
      </c>
      <c r="T26" s="105">
        <v>733</v>
      </c>
      <c r="U26" s="104">
        <v>1</v>
      </c>
      <c r="V26" s="103">
        <v>1969</v>
      </c>
      <c r="W26" s="104">
        <v>1</v>
      </c>
      <c r="X26" s="103">
        <v>912</v>
      </c>
      <c r="Y26" s="104">
        <v>1</v>
      </c>
      <c r="Z26" s="111">
        <f t="shared" si="1"/>
        <v>10522</v>
      </c>
    </row>
    <row r="27" spans="1:26" x14ac:dyDescent="0.25">
      <c r="A27" s="94" t="s">
        <v>82</v>
      </c>
      <c r="B27" s="151">
        <v>0</v>
      </c>
      <c r="C27" s="152" t="s">
        <v>109</v>
      </c>
      <c r="D27" s="151">
        <v>0</v>
      </c>
      <c r="E27" s="152" t="s">
        <v>109</v>
      </c>
      <c r="F27" s="151">
        <v>0</v>
      </c>
      <c r="G27" s="152" t="s">
        <v>109</v>
      </c>
      <c r="H27" s="151">
        <v>38</v>
      </c>
      <c r="I27" s="152" t="s">
        <v>109</v>
      </c>
      <c r="J27" s="151">
        <v>16</v>
      </c>
      <c r="K27" s="153"/>
      <c r="L27" s="151">
        <v>51</v>
      </c>
      <c r="M27" s="153"/>
      <c r="N27" s="151">
        <v>51</v>
      </c>
      <c r="O27" s="153"/>
      <c r="P27" s="154">
        <v>44</v>
      </c>
      <c r="Q27" s="155"/>
      <c r="R27" s="154">
        <v>32</v>
      </c>
      <c r="S27" s="155"/>
      <c r="T27" s="154">
        <v>63</v>
      </c>
      <c r="U27" s="155"/>
      <c r="V27" s="151">
        <v>19</v>
      </c>
      <c r="W27" s="153"/>
      <c r="X27" s="151">
        <v>7</v>
      </c>
      <c r="Y27" s="155"/>
      <c r="Z27" s="156">
        <f t="shared" si="1"/>
        <v>321</v>
      </c>
    </row>
    <row r="28" spans="1:26" ht="15.75" thickBot="1" x14ac:dyDescent="0.3">
      <c r="A28" s="94"/>
      <c r="B28" s="107"/>
      <c r="C28" s="108"/>
      <c r="D28" s="109"/>
      <c r="E28" s="110"/>
      <c r="F28" s="107"/>
      <c r="G28" s="108"/>
      <c r="H28" s="109"/>
      <c r="I28" s="110"/>
      <c r="J28" s="107"/>
      <c r="K28" s="108"/>
      <c r="L28" s="109"/>
      <c r="M28" s="110"/>
      <c r="N28" s="107"/>
      <c r="O28" s="108"/>
      <c r="P28" s="109"/>
      <c r="Q28" s="110"/>
      <c r="R28" s="107"/>
      <c r="S28" s="108"/>
      <c r="T28" s="109"/>
      <c r="U28" s="110"/>
      <c r="V28" s="107"/>
      <c r="W28" s="108"/>
      <c r="X28" s="109"/>
      <c r="Y28" s="110"/>
      <c r="Z28" s="106"/>
    </row>
    <row r="29" spans="1:26" ht="15.75" thickBot="1" x14ac:dyDescent="0.3">
      <c r="A29" s="128" t="s">
        <v>53</v>
      </c>
      <c r="B29" s="132">
        <f>SUM(B21:B28)</f>
        <v>1241</v>
      </c>
      <c r="C29" s="131"/>
      <c r="D29" s="132">
        <f>SUM(D21:D28)</f>
        <v>719</v>
      </c>
      <c r="E29" s="131"/>
      <c r="F29" s="132">
        <f>SUM(F21:F28)</f>
        <v>2214</v>
      </c>
      <c r="G29" s="131"/>
      <c r="H29" s="132">
        <f>SUM(H21:H28)</f>
        <v>1743</v>
      </c>
      <c r="I29" s="131"/>
      <c r="J29" s="132">
        <f>SUM(J21:J28)</f>
        <v>937</v>
      </c>
      <c r="K29" s="131"/>
      <c r="L29" s="132">
        <f>SUM(L21:L28)</f>
        <v>1160</v>
      </c>
      <c r="M29" s="131"/>
      <c r="N29" s="132">
        <f>SUM(N21:N28)</f>
        <v>1738</v>
      </c>
      <c r="O29" s="131"/>
      <c r="P29" s="132">
        <f>SUM(P21:P28)</f>
        <v>2467</v>
      </c>
      <c r="Q29" s="131"/>
      <c r="R29" s="132">
        <f>SUM(R21:R28)</f>
        <v>1806</v>
      </c>
      <c r="S29" s="131"/>
      <c r="T29" s="132">
        <f>SUM(T21:T28)</f>
        <v>1854</v>
      </c>
      <c r="U29" s="131"/>
      <c r="V29" s="132">
        <f>SUM(V21:V28)</f>
        <v>4101</v>
      </c>
      <c r="W29" s="131"/>
      <c r="X29" s="132">
        <f>SUM(X21:X28)</f>
        <v>2499</v>
      </c>
      <c r="Y29" s="131"/>
      <c r="Z29" s="132">
        <f>SUM(Z21:Z28)</f>
        <v>22479</v>
      </c>
    </row>
    <row r="30" spans="1:26" ht="15.75" thickBot="1" x14ac:dyDescent="0.3">
      <c r="A30" s="129" t="s">
        <v>193</v>
      </c>
      <c r="B30" s="133">
        <v>0</v>
      </c>
      <c r="C30" s="134"/>
      <c r="D30" s="133">
        <v>0</v>
      </c>
      <c r="E30" s="134"/>
      <c r="F30" s="133">
        <v>0</v>
      </c>
      <c r="G30" s="134"/>
      <c r="H30" s="133">
        <v>0</v>
      </c>
      <c r="I30" s="134"/>
      <c r="J30" s="133">
        <v>0</v>
      </c>
      <c r="K30" s="134"/>
      <c r="L30" s="133">
        <v>0</v>
      </c>
      <c r="M30" s="134"/>
      <c r="N30" s="133">
        <v>0</v>
      </c>
      <c r="O30" s="134"/>
      <c r="P30" s="133">
        <v>0</v>
      </c>
      <c r="Q30" s="134"/>
      <c r="R30" s="133">
        <v>0</v>
      </c>
      <c r="S30" s="134"/>
      <c r="T30" s="133">
        <v>11</v>
      </c>
      <c r="U30" s="134"/>
      <c r="V30" s="133">
        <v>40</v>
      </c>
      <c r="W30" s="134"/>
      <c r="X30" s="133">
        <v>17</v>
      </c>
      <c r="Y30" s="130"/>
      <c r="Z30" s="133">
        <f>B30+D30+F30+H30+J30+L30+N30+P30+R30+T30+V30+X30</f>
        <v>68</v>
      </c>
    </row>
    <row r="31" spans="1:26" ht="15.75" thickBot="1" x14ac:dyDescent="0.3">
      <c r="A31" s="129" t="s">
        <v>108</v>
      </c>
      <c r="B31" s="133">
        <v>798</v>
      </c>
      <c r="C31" s="134"/>
      <c r="D31" s="133">
        <v>510</v>
      </c>
      <c r="E31" s="134"/>
      <c r="F31" s="133">
        <v>832</v>
      </c>
      <c r="G31" s="134"/>
      <c r="H31" s="133">
        <v>836</v>
      </c>
      <c r="I31" s="134"/>
      <c r="J31" s="133">
        <v>837</v>
      </c>
      <c r="K31" s="134"/>
      <c r="L31" s="133">
        <v>760</v>
      </c>
      <c r="M31" s="134"/>
      <c r="N31" s="133">
        <v>679</v>
      </c>
      <c r="O31" s="134"/>
      <c r="P31" s="133">
        <v>1351</v>
      </c>
      <c r="Q31" s="134"/>
      <c r="R31" s="133">
        <v>1902</v>
      </c>
      <c r="S31" s="134"/>
      <c r="T31" s="133">
        <v>540</v>
      </c>
      <c r="U31" s="134"/>
      <c r="V31" s="133">
        <v>2351</v>
      </c>
      <c r="W31" s="134"/>
      <c r="X31" s="133">
        <v>898</v>
      </c>
      <c r="Y31" s="130"/>
      <c r="Z31" s="133">
        <f>B31+D31+F31+H31+J31+L31+N31+P31+R31+T31+V31+X31</f>
        <v>12294</v>
      </c>
    </row>
    <row r="32" spans="1:26" ht="15.75" thickBot="1" x14ac:dyDescent="0.3"/>
    <row r="33" spans="1:26" ht="18.75" x14ac:dyDescent="0.3">
      <c r="A33" s="122" t="s">
        <v>99</v>
      </c>
      <c r="B33" s="123"/>
      <c r="C33" s="123"/>
      <c r="D33" s="123"/>
      <c r="E33" s="123"/>
      <c r="F33" s="123"/>
      <c r="G33" s="123"/>
      <c r="H33" s="123"/>
      <c r="I33" s="123"/>
      <c r="J33" s="123"/>
      <c r="K33" s="123"/>
      <c r="L33" s="123"/>
      <c r="M33" s="123"/>
      <c r="N33" s="123"/>
      <c r="O33" s="123"/>
      <c r="P33" s="123"/>
      <c r="Q33" s="123"/>
      <c r="R33" s="123"/>
      <c r="S33" s="123"/>
      <c r="T33" s="123"/>
      <c r="U33" s="123"/>
      <c r="V33" s="123"/>
      <c r="W33" s="123"/>
      <c r="X33" s="123"/>
      <c r="Y33" s="123"/>
      <c r="Z33" s="124"/>
    </row>
    <row r="34" spans="1:26" ht="15.75" thickBot="1" x14ac:dyDescent="0.3">
      <c r="A34" s="125"/>
      <c r="B34" s="126"/>
      <c r="C34" s="126"/>
      <c r="D34" s="126"/>
      <c r="E34" s="126"/>
      <c r="F34" s="126"/>
      <c r="G34" s="126"/>
      <c r="H34" s="126"/>
      <c r="I34" s="126"/>
      <c r="J34" s="126"/>
      <c r="K34" s="126"/>
      <c r="L34" s="126"/>
      <c r="M34" s="126"/>
      <c r="N34" s="126"/>
      <c r="O34" s="126"/>
      <c r="P34" s="126"/>
      <c r="Q34" s="126"/>
      <c r="R34" s="126"/>
      <c r="S34" s="126"/>
      <c r="T34" s="126"/>
      <c r="U34" s="126"/>
      <c r="V34" s="126"/>
      <c r="W34" s="126"/>
      <c r="X34" s="126"/>
      <c r="Y34" s="126"/>
      <c r="Z34" s="127"/>
    </row>
    <row r="35" spans="1:26" ht="15.75" thickBot="1" x14ac:dyDescent="0.3">
      <c r="A35" s="117" t="s">
        <v>98</v>
      </c>
      <c r="B35" s="281" t="s">
        <v>86</v>
      </c>
      <c r="C35" s="282"/>
      <c r="D35" s="281" t="s">
        <v>87</v>
      </c>
      <c r="E35" s="282"/>
      <c r="F35" s="281" t="s">
        <v>88</v>
      </c>
      <c r="G35" s="282"/>
      <c r="H35" s="281" t="s">
        <v>89</v>
      </c>
      <c r="I35" s="282"/>
      <c r="J35" s="281" t="s">
        <v>90</v>
      </c>
      <c r="K35" s="282"/>
      <c r="L35" s="281" t="s">
        <v>91</v>
      </c>
      <c r="M35" s="282"/>
      <c r="N35" s="281" t="s">
        <v>92</v>
      </c>
      <c r="O35" s="282"/>
      <c r="P35" s="281" t="s">
        <v>93</v>
      </c>
      <c r="Q35" s="282"/>
      <c r="R35" s="281" t="s">
        <v>94</v>
      </c>
      <c r="S35" s="282"/>
      <c r="T35" s="281" t="s">
        <v>95</v>
      </c>
      <c r="U35" s="282"/>
      <c r="V35" s="281" t="s">
        <v>96</v>
      </c>
      <c r="W35" s="282"/>
      <c r="X35" s="281" t="s">
        <v>97</v>
      </c>
      <c r="Y35" s="282"/>
      <c r="Z35" s="279" t="s">
        <v>106</v>
      </c>
    </row>
    <row r="36" spans="1:26" ht="15.75" thickBot="1" x14ac:dyDescent="0.3">
      <c r="A36" s="121" t="s">
        <v>107</v>
      </c>
      <c r="B36" s="119" t="s">
        <v>103</v>
      </c>
      <c r="C36" s="120" t="s">
        <v>104</v>
      </c>
      <c r="D36" s="119" t="s">
        <v>103</v>
      </c>
      <c r="E36" s="120" t="s">
        <v>104</v>
      </c>
      <c r="F36" s="119" t="s">
        <v>103</v>
      </c>
      <c r="G36" s="120" t="s">
        <v>104</v>
      </c>
      <c r="H36" s="119" t="s">
        <v>103</v>
      </c>
      <c r="I36" s="120" t="s">
        <v>104</v>
      </c>
      <c r="J36" s="119" t="s">
        <v>103</v>
      </c>
      <c r="K36" s="120" t="s">
        <v>104</v>
      </c>
      <c r="L36" s="119" t="s">
        <v>103</v>
      </c>
      <c r="M36" s="120" t="s">
        <v>104</v>
      </c>
      <c r="N36" s="119" t="s">
        <v>103</v>
      </c>
      <c r="O36" s="120" t="s">
        <v>104</v>
      </c>
      <c r="P36" s="119" t="s">
        <v>103</v>
      </c>
      <c r="Q36" s="120" t="s">
        <v>104</v>
      </c>
      <c r="R36" s="119" t="s">
        <v>103</v>
      </c>
      <c r="S36" s="120" t="s">
        <v>104</v>
      </c>
      <c r="T36" s="119" t="s">
        <v>103</v>
      </c>
      <c r="U36" s="120" t="s">
        <v>104</v>
      </c>
      <c r="V36" s="119" t="s">
        <v>103</v>
      </c>
      <c r="W36" s="120" t="s">
        <v>104</v>
      </c>
      <c r="X36" s="119" t="s">
        <v>103</v>
      </c>
      <c r="Y36" s="120" t="s">
        <v>104</v>
      </c>
      <c r="Z36" s="283"/>
    </row>
    <row r="37" spans="1:26" x14ac:dyDescent="0.25">
      <c r="A37" s="93" t="s">
        <v>1</v>
      </c>
      <c r="B37" s="100">
        <v>0</v>
      </c>
      <c r="C37" s="135" t="s">
        <v>109</v>
      </c>
      <c r="D37" s="100">
        <v>0</v>
      </c>
      <c r="E37" s="135" t="s">
        <v>109</v>
      </c>
      <c r="F37" s="100">
        <v>4</v>
      </c>
      <c r="G37" s="101">
        <v>3</v>
      </c>
      <c r="H37" s="100">
        <v>8</v>
      </c>
      <c r="I37" s="101">
        <v>3</v>
      </c>
      <c r="J37" s="100">
        <v>0</v>
      </c>
      <c r="K37" s="135" t="s">
        <v>109</v>
      </c>
      <c r="L37" s="100">
        <v>0</v>
      </c>
      <c r="M37" s="135" t="s">
        <v>109</v>
      </c>
      <c r="N37" s="100">
        <v>0</v>
      </c>
      <c r="O37" s="135" t="s">
        <v>109</v>
      </c>
      <c r="P37" s="100">
        <v>0</v>
      </c>
      <c r="Q37" s="135" t="s">
        <v>109</v>
      </c>
      <c r="R37" s="100">
        <v>0</v>
      </c>
      <c r="S37" s="135" t="s">
        <v>109</v>
      </c>
      <c r="T37" s="100">
        <v>0</v>
      </c>
      <c r="U37" s="135" t="s">
        <v>109</v>
      </c>
      <c r="V37" s="100">
        <v>0</v>
      </c>
      <c r="W37" s="135" t="s">
        <v>109</v>
      </c>
      <c r="X37" s="100">
        <v>0</v>
      </c>
      <c r="Y37" s="135" t="s">
        <v>109</v>
      </c>
      <c r="Z37" s="99">
        <f t="shared" ref="Z37:Z42" si="2">B37+D37+F37+H37+J37+L37+N37+P37+R37+T37+V37+X37</f>
        <v>12</v>
      </c>
    </row>
    <row r="38" spans="1:26" x14ac:dyDescent="0.25">
      <c r="A38" s="94" t="s">
        <v>77</v>
      </c>
      <c r="B38" s="103">
        <v>228</v>
      </c>
      <c r="C38" s="104">
        <v>3</v>
      </c>
      <c r="D38" s="103">
        <v>48</v>
      </c>
      <c r="E38" s="104">
        <v>3</v>
      </c>
      <c r="F38" s="103">
        <v>0</v>
      </c>
      <c r="G38" s="136" t="s">
        <v>109</v>
      </c>
      <c r="H38" s="103">
        <v>0</v>
      </c>
      <c r="I38" s="136" t="s">
        <v>109</v>
      </c>
      <c r="J38" s="103">
        <v>93</v>
      </c>
      <c r="K38" s="104">
        <v>3</v>
      </c>
      <c r="L38" s="103">
        <v>0</v>
      </c>
      <c r="M38" s="136" t="s">
        <v>109</v>
      </c>
      <c r="N38" s="103">
        <v>0</v>
      </c>
      <c r="O38" s="136" t="s">
        <v>109</v>
      </c>
      <c r="P38" s="103">
        <v>0</v>
      </c>
      <c r="Q38" s="136" t="s">
        <v>109</v>
      </c>
      <c r="R38" s="103">
        <v>0</v>
      </c>
      <c r="S38" s="136" t="s">
        <v>109</v>
      </c>
      <c r="T38" s="103">
        <v>0</v>
      </c>
      <c r="U38" s="136" t="s">
        <v>109</v>
      </c>
      <c r="V38" s="103">
        <v>0</v>
      </c>
      <c r="W38" s="136" t="s">
        <v>109</v>
      </c>
      <c r="X38" s="103">
        <v>0</v>
      </c>
      <c r="Y38" s="136" t="s">
        <v>109</v>
      </c>
      <c r="Z38" s="111">
        <f t="shared" si="2"/>
        <v>369</v>
      </c>
    </row>
    <row r="39" spans="1:26" x14ac:dyDescent="0.25">
      <c r="A39" s="94" t="s">
        <v>33</v>
      </c>
      <c r="B39" s="103">
        <v>307</v>
      </c>
      <c r="C39" s="104">
        <v>2</v>
      </c>
      <c r="D39" s="103">
        <v>616</v>
      </c>
      <c r="E39" s="104">
        <v>1</v>
      </c>
      <c r="F39" s="103">
        <v>555</v>
      </c>
      <c r="G39" s="104">
        <v>1</v>
      </c>
      <c r="H39" s="103">
        <v>416</v>
      </c>
      <c r="I39" s="104">
        <v>1</v>
      </c>
      <c r="J39" s="103">
        <v>563</v>
      </c>
      <c r="K39" s="104">
        <v>1</v>
      </c>
      <c r="L39" s="103">
        <v>960</v>
      </c>
      <c r="M39" s="104">
        <v>1</v>
      </c>
      <c r="N39" s="103">
        <v>335</v>
      </c>
      <c r="O39" s="104">
        <v>1</v>
      </c>
      <c r="P39" s="103">
        <v>607</v>
      </c>
      <c r="Q39" s="104">
        <v>1</v>
      </c>
      <c r="R39" s="103">
        <v>644</v>
      </c>
      <c r="S39" s="104">
        <v>1</v>
      </c>
      <c r="T39" s="103">
        <v>1182</v>
      </c>
      <c r="U39" s="104">
        <v>1</v>
      </c>
      <c r="V39" s="103">
        <v>1604</v>
      </c>
      <c r="W39" s="104">
        <v>1</v>
      </c>
      <c r="X39" s="103">
        <v>1283</v>
      </c>
      <c r="Y39" s="104">
        <v>1</v>
      </c>
      <c r="Z39" s="111">
        <f t="shared" si="2"/>
        <v>9072</v>
      </c>
    </row>
    <row r="40" spans="1:26" x14ac:dyDescent="0.25">
      <c r="A40" s="94" t="s">
        <v>2</v>
      </c>
      <c r="B40" s="103">
        <v>0</v>
      </c>
      <c r="C40" s="136" t="s">
        <v>109</v>
      </c>
      <c r="D40" s="103">
        <v>0</v>
      </c>
      <c r="E40" s="136" t="s">
        <v>109</v>
      </c>
      <c r="F40" s="103">
        <v>0</v>
      </c>
      <c r="G40" s="136" t="s">
        <v>109</v>
      </c>
      <c r="H40" s="103">
        <v>0</v>
      </c>
      <c r="I40" s="136" t="s">
        <v>109</v>
      </c>
      <c r="J40" s="103">
        <v>0</v>
      </c>
      <c r="K40" s="136" t="s">
        <v>109</v>
      </c>
      <c r="L40" s="103">
        <v>0</v>
      </c>
      <c r="M40" s="136" t="s">
        <v>109</v>
      </c>
      <c r="N40" s="103">
        <v>0</v>
      </c>
      <c r="O40" s="136" t="s">
        <v>109</v>
      </c>
      <c r="P40" s="103">
        <v>0</v>
      </c>
      <c r="Q40" s="136" t="s">
        <v>109</v>
      </c>
      <c r="R40" s="103">
        <v>18</v>
      </c>
      <c r="S40" s="104">
        <v>3</v>
      </c>
      <c r="T40" s="103">
        <v>5</v>
      </c>
      <c r="U40" s="104">
        <v>3</v>
      </c>
      <c r="V40" s="103">
        <v>9</v>
      </c>
      <c r="W40" s="104">
        <v>3</v>
      </c>
      <c r="X40" s="103">
        <v>0</v>
      </c>
      <c r="Y40" s="136" t="s">
        <v>109</v>
      </c>
      <c r="Z40" s="111">
        <f t="shared" si="2"/>
        <v>32</v>
      </c>
    </row>
    <row r="41" spans="1:26" x14ac:dyDescent="0.25">
      <c r="A41" s="94" t="s">
        <v>3</v>
      </c>
      <c r="B41" s="103">
        <v>3</v>
      </c>
      <c r="C41" s="104">
        <v>4</v>
      </c>
      <c r="D41" s="103">
        <v>0</v>
      </c>
      <c r="E41" s="136" t="s">
        <v>109</v>
      </c>
      <c r="F41" s="103">
        <v>0</v>
      </c>
      <c r="G41" s="136" t="s">
        <v>109</v>
      </c>
      <c r="H41" s="103">
        <v>0</v>
      </c>
      <c r="I41" s="136" t="s">
        <v>109</v>
      </c>
      <c r="J41" s="103">
        <v>0</v>
      </c>
      <c r="K41" s="136" t="s">
        <v>109</v>
      </c>
      <c r="L41" s="103">
        <v>0</v>
      </c>
      <c r="M41" s="136" t="s">
        <v>109</v>
      </c>
      <c r="N41" s="103">
        <v>0</v>
      </c>
      <c r="O41" s="136" t="s">
        <v>109</v>
      </c>
      <c r="P41" s="103">
        <v>0</v>
      </c>
      <c r="Q41" s="136" t="s">
        <v>109</v>
      </c>
      <c r="R41" s="103">
        <v>0</v>
      </c>
      <c r="S41" s="136" t="s">
        <v>109</v>
      </c>
      <c r="T41" s="103">
        <v>0</v>
      </c>
      <c r="U41" s="136" t="s">
        <v>109</v>
      </c>
      <c r="V41" s="103">
        <v>0</v>
      </c>
      <c r="W41" s="136" t="s">
        <v>109</v>
      </c>
      <c r="X41" s="103">
        <v>0</v>
      </c>
      <c r="Y41" s="136" t="s">
        <v>109</v>
      </c>
      <c r="Z41" s="111">
        <f t="shared" si="2"/>
        <v>3</v>
      </c>
    </row>
    <row r="42" spans="1:26" x14ac:dyDescent="0.25">
      <c r="A42" s="94" t="s">
        <v>4</v>
      </c>
      <c r="B42" s="103">
        <v>404</v>
      </c>
      <c r="C42" s="104">
        <v>1</v>
      </c>
      <c r="D42" s="103">
        <v>155</v>
      </c>
      <c r="E42" s="104">
        <v>2</v>
      </c>
      <c r="F42" s="103">
        <v>206</v>
      </c>
      <c r="G42" s="104">
        <v>2</v>
      </c>
      <c r="H42" s="103">
        <v>157</v>
      </c>
      <c r="I42" s="104">
        <v>2</v>
      </c>
      <c r="J42" s="103">
        <v>177</v>
      </c>
      <c r="K42" s="104">
        <v>2</v>
      </c>
      <c r="L42" s="103">
        <v>384</v>
      </c>
      <c r="M42" s="104">
        <v>2</v>
      </c>
      <c r="N42" s="103">
        <v>290</v>
      </c>
      <c r="O42" s="104">
        <v>2</v>
      </c>
      <c r="P42" s="103">
        <v>189</v>
      </c>
      <c r="Q42" s="104">
        <v>2</v>
      </c>
      <c r="R42" s="103">
        <v>403</v>
      </c>
      <c r="S42" s="104">
        <v>2</v>
      </c>
      <c r="T42" s="103">
        <v>438</v>
      </c>
      <c r="U42" s="104">
        <v>2</v>
      </c>
      <c r="V42" s="103">
        <v>402</v>
      </c>
      <c r="W42" s="104">
        <v>2</v>
      </c>
      <c r="X42" s="103">
        <v>292</v>
      </c>
      <c r="Y42" s="104">
        <v>2</v>
      </c>
      <c r="Z42" s="111">
        <f t="shared" si="2"/>
        <v>3497</v>
      </c>
    </row>
    <row r="43" spans="1:26" ht="15.75" thickBot="1" x14ac:dyDescent="0.3">
      <c r="A43" s="94"/>
      <c r="B43" s="107"/>
      <c r="C43" s="108"/>
      <c r="D43" s="109"/>
      <c r="E43" s="110"/>
      <c r="F43" s="107"/>
      <c r="G43" s="108"/>
      <c r="H43" s="109"/>
      <c r="I43" s="110"/>
      <c r="J43" s="107"/>
      <c r="K43" s="108"/>
      <c r="L43" s="109"/>
      <c r="M43" s="110"/>
      <c r="N43" s="107"/>
      <c r="O43" s="108"/>
      <c r="P43" s="109"/>
      <c r="Q43" s="110"/>
      <c r="R43" s="107"/>
      <c r="S43" s="108"/>
      <c r="T43" s="109"/>
      <c r="U43" s="110"/>
      <c r="V43" s="107"/>
      <c r="W43" s="108"/>
      <c r="X43" s="109"/>
      <c r="Y43" s="110"/>
      <c r="Z43" s="106"/>
    </row>
    <row r="44" spans="1:26" ht="15.75" thickBot="1" x14ac:dyDescent="0.3">
      <c r="A44" s="128" t="s">
        <v>53</v>
      </c>
      <c r="B44" s="132">
        <f>SUM(B37:B43)</f>
        <v>942</v>
      </c>
      <c r="C44" s="131"/>
      <c r="D44" s="132">
        <f>SUM(D37:D43)</f>
        <v>819</v>
      </c>
      <c r="E44" s="131"/>
      <c r="F44" s="132">
        <f>SUM(F37:F43)</f>
        <v>765</v>
      </c>
      <c r="G44" s="131"/>
      <c r="H44" s="132">
        <f>SUM(H37:H43)</f>
        <v>581</v>
      </c>
      <c r="I44" s="131"/>
      <c r="J44" s="132">
        <f>SUM(J37:J43)</f>
        <v>833</v>
      </c>
      <c r="K44" s="131"/>
      <c r="L44" s="132">
        <f>SUM(L37:L43)</f>
        <v>1344</v>
      </c>
      <c r="M44" s="131"/>
      <c r="N44" s="132">
        <f>SUM(N37:N43)</f>
        <v>625</v>
      </c>
      <c r="O44" s="131"/>
      <c r="P44" s="132">
        <f>SUM(P37:P43)</f>
        <v>796</v>
      </c>
      <c r="Q44" s="131"/>
      <c r="R44" s="132">
        <f>SUM(R37:R43)</f>
        <v>1065</v>
      </c>
      <c r="S44" s="131"/>
      <c r="T44" s="132">
        <f>SUM(T37:T43)</f>
        <v>1625</v>
      </c>
      <c r="U44" s="131"/>
      <c r="V44" s="132">
        <f>SUM(V37:V43)</f>
        <v>2015</v>
      </c>
      <c r="W44" s="131"/>
      <c r="X44" s="132">
        <f>SUM(X37:X43)</f>
        <v>1575</v>
      </c>
      <c r="Y44" s="131"/>
      <c r="Z44" s="132">
        <f>SUM(Z37:Z43)</f>
        <v>12985</v>
      </c>
    </row>
    <row r="45" spans="1:26" ht="15.75" thickBot="1" x14ac:dyDescent="0.3">
      <c r="A45" s="129" t="s">
        <v>108</v>
      </c>
      <c r="B45" s="133">
        <v>892</v>
      </c>
      <c r="C45" s="134"/>
      <c r="D45" s="133">
        <v>44</v>
      </c>
      <c r="E45" s="134"/>
      <c r="F45" s="133">
        <v>417</v>
      </c>
      <c r="G45" s="134"/>
      <c r="H45" s="133">
        <v>70</v>
      </c>
      <c r="I45" s="134"/>
      <c r="J45" s="133">
        <v>493</v>
      </c>
      <c r="K45" s="134"/>
      <c r="L45" s="133">
        <v>1043</v>
      </c>
      <c r="M45" s="134"/>
      <c r="N45" s="133">
        <v>325</v>
      </c>
      <c r="O45" s="134"/>
      <c r="P45" s="133">
        <v>857</v>
      </c>
      <c r="Q45" s="134"/>
      <c r="R45" s="133">
        <v>1201</v>
      </c>
      <c r="S45" s="134"/>
      <c r="T45" s="133">
        <v>1923</v>
      </c>
      <c r="U45" s="134"/>
      <c r="V45" s="133">
        <v>2602</v>
      </c>
      <c r="W45" s="134"/>
      <c r="X45" s="133">
        <v>2826</v>
      </c>
      <c r="Y45" s="130"/>
      <c r="Z45" s="133">
        <f>B45+D45+F45+H45+J45+L45+N45+P45+R45+T45+V45+X45</f>
        <v>12693</v>
      </c>
    </row>
    <row r="48" spans="1:26" x14ac:dyDescent="0.25">
      <c r="A48" s="95"/>
      <c r="F48" s="96"/>
    </row>
    <row r="49" spans="1:6" x14ac:dyDescent="0.25">
      <c r="A49" s="96"/>
      <c r="F49" s="96"/>
    </row>
    <row r="50" spans="1:6" x14ac:dyDescent="0.25">
      <c r="A50" s="96"/>
      <c r="F50" s="96"/>
    </row>
    <row r="51" spans="1:6" x14ac:dyDescent="0.25">
      <c r="A51" s="96"/>
      <c r="F51" s="96"/>
    </row>
    <row r="52" spans="1:6" x14ac:dyDescent="0.25">
      <c r="A52" s="26"/>
      <c r="F52" s="96"/>
    </row>
    <row r="53" spans="1:6" x14ac:dyDescent="0.25">
      <c r="A53" s="95"/>
      <c r="F53" s="96"/>
    </row>
    <row r="54" spans="1:6" x14ac:dyDescent="0.25">
      <c r="A54" s="96"/>
    </row>
    <row r="55" spans="1:6" x14ac:dyDescent="0.25">
      <c r="A55" s="96"/>
    </row>
    <row r="56" spans="1:6" x14ac:dyDescent="0.25">
      <c r="A56" s="96"/>
    </row>
    <row r="57" spans="1:6" x14ac:dyDescent="0.25">
      <c r="A57" s="97"/>
    </row>
    <row r="58" spans="1:6" x14ac:dyDescent="0.25">
      <c r="A58" s="95"/>
    </row>
    <row r="59" spans="1:6" x14ac:dyDescent="0.25">
      <c r="A59" s="96"/>
    </row>
    <row r="60" spans="1:6" x14ac:dyDescent="0.25">
      <c r="A60" s="96"/>
    </row>
    <row r="61" spans="1:6" x14ac:dyDescent="0.25">
      <c r="A61" s="96"/>
    </row>
    <row r="62" spans="1:6" x14ac:dyDescent="0.25">
      <c r="A62" s="97"/>
    </row>
    <row r="63" spans="1:6" x14ac:dyDescent="0.25">
      <c r="A63" s="95"/>
    </row>
    <row r="64" spans="1:6" x14ac:dyDescent="0.25">
      <c r="A64" s="96"/>
    </row>
    <row r="65" spans="1:1" x14ac:dyDescent="0.25">
      <c r="A65" s="96"/>
    </row>
    <row r="66" spans="1:1" x14ac:dyDescent="0.25">
      <c r="A66" s="96"/>
    </row>
    <row r="67" spans="1:1" x14ac:dyDescent="0.25">
      <c r="A67" s="97"/>
    </row>
    <row r="68" spans="1:1" x14ac:dyDescent="0.25">
      <c r="A68" s="95"/>
    </row>
    <row r="69" spans="1:1" x14ac:dyDescent="0.25">
      <c r="A69" s="96"/>
    </row>
    <row r="70" spans="1:1" x14ac:dyDescent="0.25">
      <c r="A70" s="96"/>
    </row>
    <row r="71" spans="1:1" x14ac:dyDescent="0.25">
      <c r="A71" s="96"/>
    </row>
    <row r="106" spans="1:1" x14ac:dyDescent="0.25">
      <c r="A106" s="97"/>
    </row>
    <row r="107" spans="1:1" x14ac:dyDescent="0.25">
      <c r="A107" s="98" t="s">
        <v>101</v>
      </c>
    </row>
  </sheetData>
  <mergeCells count="39">
    <mergeCell ref="Z19:Z20"/>
    <mergeCell ref="Z35:Z36"/>
    <mergeCell ref="X19:Y19"/>
    <mergeCell ref="B19:C19"/>
    <mergeCell ref="D19:E19"/>
    <mergeCell ref="F19:G19"/>
    <mergeCell ref="H19:I19"/>
    <mergeCell ref="J19:K19"/>
    <mergeCell ref="L19:M19"/>
    <mergeCell ref="N19:O19"/>
    <mergeCell ref="P19:Q19"/>
    <mergeCell ref="R19:S19"/>
    <mergeCell ref="T19:U19"/>
    <mergeCell ref="V19:W19"/>
    <mergeCell ref="X35:Y35"/>
    <mergeCell ref="B35:C35"/>
    <mergeCell ref="D35:E35"/>
    <mergeCell ref="F35:G35"/>
    <mergeCell ref="H35:I35"/>
    <mergeCell ref="J35:K35"/>
    <mergeCell ref="L35:M35"/>
    <mergeCell ref="N35:O35"/>
    <mergeCell ref="P35:Q35"/>
    <mergeCell ref="R35:S35"/>
    <mergeCell ref="T35:U35"/>
    <mergeCell ref="V35:W35"/>
    <mergeCell ref="B3:C3"/>
    <mergeCell ref="D3:E3"/>
    <mergeCell ref="F3:G3"/>
    <mergeCell ref="H3:I3"/>
    <mergeCell ref="J3:K3"/>
    <mergeCell ref="V3:W3"/>
    <mergeCell ref="X3:Y3"/>
    <mergeCell ref="Z3:Z4"/>
    <mergeCell ref="L3:M3"/>
    <mergeCell ref="N3:O3"/>
    <mergeCell ref="P3:Q3"/>
    <mergeCell ref="R3:S3"/>
    <mergeCell ref="T3:U3"/>
  </mergeCells>
  <pageMargins left="0.7" right="0.7" top="0.75" bottom="0.75" header="0.3" footer="0.3"/>
  <pageSetup paperSize="9" scale="70" fitToHeight="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G128"/>
  <sheetViews>
    <sheetView workbookViewId="0">
      <selection activeCell="S15" sqref="S15"/>
    </sheetView>
  </sheetViews>
  <sheetFormatPr defaultRowHeight="15" x14ac:dyDescent="0.25"/>
  <cols>
    <col min="1" max="1" width="42.42578125" customWidth="1"/>
    <col min="2" max="2" width="11.5703125" customWidth="1"/>
    <col min="3" max="3" width="33.28515625" customWidth="1"/>
    <col min="4" max="4" width="8.85546875" style="1" hidden="1" customWidth="1"/>
    <col min="5" max="6" width="8.85546875" hidden="1" customWidth="1"/>
    <col min="7" max="7" width="8.85546875" style="1" hidden="1" customWidth="1"/>
    <col min="8" max="9" width="8.85546875" hidden="1" customWidth="1"/>
    <col min="10" max="10" width="8.85546875" style="1" hidden="1" customWidth="1"/>
    <col min="11" max="12" width="8.85546875" hidden="1" customWidth="1"/>
    <col min="13" max="13" width="8.85546875" style="1"/>
    <col min="16" max="16" width="8.85546875" style="1"/>
    <col min="19" max="19" width="8.85546875" style="1"/>
    <col min="22" max="22" width="9.7109375" customWidth="1"/>
    <col min="26" max="26" width="33.7109375" customWidth="1"/>
  </cols>
  <sheetData>
    <row r="1" spans="1:33" ht="15.75" thickBot="1" x14ac:dyDescent="0.3">
      <c r="A1" s="174" t="s">
        <v>27</v>
      </c>
      <c r="B1" s="177" t="s">
        <v>214</v>
      </c>
      <c r="C1" s="174" t="s">
        <v>168</v>
      </c>
      <c r="D1" s="175"/>
      <c r="E1" s="175"/>
      <c r="F1" s="175"/>
      <c r="G1" s="175"/>
      <c r="H1" s="175"/>
      <c r="I1" s="175"/>
      <c r="J1" s="175"/>
      <c r="K1" s="175"/>
      <c r="L1" s="175"/>
      <c r="M1" s="175"/>
      <c r="N1" s="175"/>
      <c r="O1" s="175"/>
      <c r="P1" s="175"/>
      <c r="Q1" s="175"/>
      <c r="R1" s="175"/>
      <c r="S1" s="175"/>
      <c r="T1" s="175"/>
      <c r="U1" s="175"/>
      <c r="V1" s="176"/>
      <c r="AE1" s="74"/>
      <c r="AF1" s="8"/>
    </row>
    <row r="2" spans="1:33" ht="45.75" thickBot="1" x14ac:dyDescent="0.3">
      <c r="A2" s="198" t="s">
        <v>77</v>
      </c>
      <c r="B2" s="199"/>
      <c r="C2" s="198"/>
      <c r="D2" s="200" t="s">
        <v>216</v>
      </c>
      <c r="E2" s="206"/>
      <c r="F2" s="206"/>
      <c r="G2" s="200" t="s">
        <v>217</v>
      </c>
      <c r="H2" s="206"/>
      <c r="I2" s="206"/>
      <c r="J2" s="200" t="s">
        <v>218</v>
      </c>
      <c r="K2" s="206"/>
      <c r="L2" s="206"/>
      <c r="M2" s="200" t="s">
        <v>231</v>
      </c>
      <c r="N2" s="206"/>
      <c r="O2" s="206"/>
      <c r="P2" s="200" t="s">
        <v>232</v>
      </c>
      <c r="Q2" s="206"/>
      <c r="R2" s="206"/>
      <c r="S2" s="200" t="s">
        <v>233</v>
      </c>
      <c r="T2" s="206"/>
      <c r="U2" s="206"/>
      <c r="V2" s="209" t="s">
        <v>215</v>
      </c>
      <c r="AA2" s="90"/>
      <c r="AE2" s="74"/>
      <c r="AF2" s="8"/>
      <c r="AG2" s="26"/>
    </row>
    <row r="3" spans="1:33" x14ac:dyDescent="0.25">
      <c r="A3" s="179" t="s">
        <v>12</v>
      </c>
      <c r="B3" s="180">
        <v>0</v>
      </c>
      <c r="C3" s="179"/>
      <c r="D3" s="180">
        <v>0</v>
      </c>
      <c r="E3" s="26"/>
      <c r="F3" s="26"/>
      <c r="G3" s="180">
        <v>0</v>
      </c>
      <c r="H3" s="26"/>
      <c r="I3" s="26"/>
      <c r="J3" s="180">
        <v>0</v>
      </c>
      <c r="K3" s="26"/>
      <c r="L3" s="26"/>
      <c r="M3" s="180">
        <v>0</v>
      </c>
      <c r="N3" s="26"/>
      <c r="O3" s="26"/>
      <c r="P3" s="180">
        <v>0</v>
      </c>
      <c r="Q3" s="26"/>
      <c r="R3" s="26"/>
      <c r="S3" s="180">
        <v>0</v>
      </c>
      <c r="T3" s="26"/>
      <c r="U3" s="26"/>
      <c r="V3" s="181">
        <f>D3+G3+J3+M3+P3+S3</f>
        <v>0</v>
      </c>
      <c r="W3" s="26"/>
      <c r="X3" s="26"/>
      <c r="Y3" s="26"/>
      <c r="Z3" s="26"/>
      <c r="AA3" s="58"/>
      <c r="AB3" s="26"/>
      <c r="AD3" s="6"/>
      <c r="AG3" s="26"/>
    </row>
    <row r="4" spans="1:33" x14ac:dyDescent="0.25">
      <c r="A4" s="39" t="s">
        <v>49</v>
      </c>
      <c r="B4" s="163">
        <v>0</v>
      </c>
      <c r="C4" s="39"/>
      <c r="D4" s="163">
        <v>0</v>
      </c>
      <c r="G4" s="163">
        <v>0</v>
      </c>
      <c r="J4" s="163">
        <v>0</v>
      </c>
      <c r="M4" s="163">
        <v>0</v>
      </c>
      <c r="P4" s="163">
        <v>0</v>
      </c>
      <c r="S4" s="163">
        <v>0</v>
      </c>
      <c r="V4" s="181">
        <f t="shared" ref="V4:V7" si="0">D4+G4+J4+M4+P4+S4</f>
        <v>0</v>
      </c>
      <c r="Z4" s="26"/>
      <c r="AA4" s="58"/>
      <c r="AF4" s="8"/>
    </row>
    <row r="5" spans="1:33" x14ac:dyDescent="0.25">
      <c r="A5" s="39" t="s">
        <v>181</v>
      </c>
      <c r="B5" s="163">
        <v>0</v>
      </c>
      <c r="C5" s="39"/>
      <c r="D5" s="163">
        <v>0</v>
      </c>
      <c r="G5" s="163">
        <v>0</v>
      </c>
      <c r="J5" s="163">
        <v>0</v>
      </c>
      <c r="M5" s="163">
        <v>0</v>
      </c>
      <c r="P5" s="163">
        <v>0</v>
      </c>
      <c r="S5" s="163">
        <v>0</v>
      </c>
      <c r="V5" s="181">
        <f t="shared" si="0"/>
        <v>0</v>
      </c>
      <c r="Z5" s="26"/>
      <c r="AA5" s="58"/>
      <c r="AF5" s="8"/>
      <c r="AG5" s="26"/>
    </row>
    <row r="6" spans="1:33" x14ac:dyDescent="0.25">
      <c r="A6" s="39" t="s">
        <v>48</v>
      </c>
      <c r="B6" s="163">
        <v>0</v>
      </c>
      <c r="C6" s="39"/>
      <c r="D6" s="163">
        <v>0</v>
      </c>
      <c r="G6" s="163">
        <v>0</v>
      </c>
      <c r="J6" s="163">
        <v>0</v>
      </c>
      <c r="M6" s="163">
        <v>0</v>
      </c>
      <c r="P6" s="163">
        <v>0</v>
      </c>
      <c r="S6" s="163">
        <v>0</v>
      </c>
      <c r="V6" s="181">
        <f t="shared" si="0"/>
        <v>0</v>
      </c>
      <c r="Z6" s="26"/>
      <c r="AA6" s="58"/>
      <c r="AF6" s="8"/>
    </row>
    <row r="7" spans="1:33" x14ac:dyDescent="0.25">
      <c r="A7" s="39" t="s">
        <v>50</v>
      </c>
      <c r="B7" s="164">
        <v>0</v>
      </c>
      <c r="C7" s="39"/>
      <c r="D7" s="164">
        <v>0</v>
      </c>
      <c r="E7" s="92" t="s">
        <v>84</v>
      </c>
      <c r="F7" s="92" t="s">
        <v>85</v>
      </c>
      <c r="G7" s="164">
        <v>0</v>
      </c>
      <c r="H7" s="92" t="s">
        <v>84</v>
      </c>
      <c r="I7" s="92" t="s">
        <v>85</v>
      </c>
      <c r="J7" s="164">
        <v>0</v>
      </c>
      <c r="K7" s="92" t="s">
        <v>84</v>
      </c>
      <c r="L7" s="92" t="s">
        <v>85</v>
      </c>
      <c r="M7" s="164">
        <v>0</v>
      </c>
      <c r="N7" s="92" t="s">
        <v>84</v>
      </c>
      <c r="O7" s="92" t="s">
        <v>85</v>
      </c>
      <c r="P7" s="164">
        <v>0</v>
      </c>
      <c r="Q7" s="92" t="s">
        <v>84</v>
      </c>
      <c r="R7" s="92" t="s">
        <v>85</v>
      </c>
      <c r="S7" s="164">
        <v>0</v>
      </c>
      <c r="T7" s="92" t="s">
        <v>84</v>
      </c>
      <c r="U7" s="92" t="s">
        <v>85</v>
      </c>
      <c r="V7" s="181">
        <f t="shared" si="0"/>
        <v>0</v>
      </c>
      <c r="W7" s="208" t="s">
        <v>84</v>
      </c>
      <c r="X7" s="208" t="s">
        <v>85</v>
      </c>
      <c r="AA7" s="58"/>
    </row>
    <row r="8" spans="1:33" x14ac:dyDescent="0.25">
      <c r="A8" s="89" t="s">
        <v>53</v>
      </c>
      <c r="B8" s="159">
        <f>SUM(B3:B7)</f>
        <v>0</v>
      </c>
      <c r="C8" s="160"/>
      <c r="D8" s="159">
        <f>SUM(D3:D7)</f>
        <v>0</v>
      </c>
      <c r="E8" s="157">
        <f>D4+D5+D6+D7</f>
        <v>0</v>
      </c>
      <c r="F8" s="157">
        <f>D8-E8</f>
        <v>0</v>
      </c>
      <c r="G8" s="159">
        <f>SUM(G3:G7)</f>
        <v>0</v>
      </c>
      <c r="H8" s="157">
        <f>G4+G5+G6+G7</f>
        <v>0</v>
      </c>
      <c r="I8" s="157">
        <f>G8-H8</f>
        <v>0</v>
      </c>
      <c r="J8" s="159">
        <f>SUM(J3:J7)</f>
        <v>0</v>
      </c>
      <c r="K8" s="157">
        <f>J4+J5+J6+J7</f>
        <v>0</v>
      </c>
      <c r="L8" s="157">
        <f>J8-K8</f>
        <v>0</v>
      </c>
      <c r="M8" s="159">
        <f>SUM(M3:M7)</f>
        <v>0</v>
      </c>
      <c r="N8" s="157">
        <f>M4+M5+M6+M7</f>
        <v>0</v>
      </c>
      <c r="O8" s="157">
        <f>M8-N8</f>
        <v>0</v>
      </c>
      <c r="P8" s="159">
        <f>SUM(P3:P7)</f>
        <v>0</v>
      </c>
      <c r="Q8" s="157">
        <f>P4+P5+P6+P7</f>
        <v>0</v>
      </c>
      <c r="R8" s="157">
        <f>P8-Q8</f>
        <v>0</v>
      </c>
      <c r="S8" s="159">
        <f>SUM(S3:S7)</f>
        <v>0</v>
      </c>
      <c r="T8" s="157">
        <f>S4+S5+S6+S7</f>
        <v>0</v>
      </c>
      <c r="U8" s="157">
        <f>S8-T8</f>
        <v>0</v>
      </c>
      <c r="V8" s="159">
        <f>SUM(V3:V7)</f>
        <v>0</v>
      </c>
      <c r="W8" s="157">
        <f>V4+V5+V6+V7</f>
        <v>0</v>
      </c>
      <c r="X8" s="157">
        <f>V8-W8</f>
        <v>0</v>
      </c>
      <c r="AA8" s="91"/>
    </row>
    <row r="9" spans="1:33" x14ac:dyDescent="0.25">
      <c r="A9" s="89"/>
      <c r="B9" s="88"/>
      <c r="C9" s="39"/>
      <c r="V9" s="26"/>
      <c r="AA9" s="91"/>
    </row>
    <row r="10" spans="1:33" ht="15.75" thickBot="1" x14ac:dyDescent="0.3">
      <c r="A10" s="201"/>
      <c r="B10" s="202"/>
      <c r="C10" s="203"/>
      <c r="V10" s="26"/>
      <c r="AA10" s="91"/>
    </row>
    <row r="11" spans="1:33" ht="45.75" thickBot="1" x14ac:dyDescent="0.3">
      <c r="A11" s="198" t="s">
        <v>1</v>
      </c>
      <c r="B11" s="199" t="s">
        <v>214</v>
      </c>
      <c r="C11" s="198"/>
      <c r="D11" s="200" t="s">
        <v>216</v>
      </c>
      <c r="E11" s="206"/>
      <c r="F11" s="206"/>
      <c r="G11" s="200" t="s">
        <v>217</v>
      </c>
      <c r="H11" s="206"/>
      <c r="I11" s="206"/>
      <c r="J11" s="200" t="s">
        <v>218</v>
      </c>
      <c r="K11" s="206"/>
      <c r="L11" s="206"/>
      <c r="M11" s="200" t="s">
        <v>231</v>
      </c>
      <c r="N11" s="206"/>
      <c r="O11" s="206"/>
      <c r="P11" s="200" t="s">
        <v>232</v>
      </c>
      <c r="Q11" s="206"/>
      <c r="R11" s="206"/>
      <c r="S11" s="200" t="s">
        <v>233</v>
      </c>
      <c r="T11" s="206"/>
      <c r="U11" s="206"/>
      <c r="V11" s="209" t="s">
        <v>215</v>
      </c>
      <c r="AA11" s="90"/>
      <c r="AF11" s="8"/>
      <c r="AG11" s="26"/>
    </row>
    <row r="12" spans="1:33" x14ac:dyDescent="0.25">
      <c r="A12" s="179" t="s">
        <v>12</v>
      </c>
      <c r="B12" s="163">
        <v>0</v>
      </c>
      <c r="C12" s="179" t="s">
        <v>123</v>
      </c>
      <c r="D12" s="180">
        <v>0</v>
      </c>
      <c r="E12" s="26"/>
      <c r="F12" s="26"/>
      <c r="G12" s="180">
        <v>0</v>
      </c>
      <c r="H12" s="26"/>
      <c r="I12" s="26"/>
      <c r="J12" s="180">
        <v>0</v>
      </c>
      <c r="K12" s="26"/>
      <c r="L12" s="26"/>
      <c r="M12" s="180">
        <v>0</v>
      </c>
      <c r="N12" s="26"/>
      <c r="O12" s="26"/>
      <c r="P12" s="180">
        <v>0</v>
      </c>
      <c r="Q12" s="26"/>
      <c r="R12" s="26"/>
      <c r="S12" s="180">
        <v>0</v>
      </c>
      <c r="T12" s="26"/>
      <c r="U12" s="26"/>
      <c r="V12" s="181">
        <f t="shared" ref="V12:V16" si="1">D12+G12+J12+M12+P12+S12</f>
        <v>0</v>
      </c>
      <c r="W12" s="26"/>
      <c r="X12" s="26"/>
      <c r="Y12" s="26"/>
      <c r="Z12" s="26"/>
      <c r="AA12" s="58"/>
      <c r="AB12" s="26"/>
      <c r="AD12" s="6"/>
      <c r="AE12" s="74"/>
      <c r="AG12" s="26"/>
    </row>
    <row r="13" spans="1:33" x14ac:dyDescent="0.25">
      <c r="A13" s="39" t="s">
        <v>49</v>
      </c>
      <c r="B13" s="163">
        <v>0</v>
      </c>
      <c r="C13" s="39" t="s">
        <v>174</v>
      </c>
      <c r="D13" s="180">
        <v>0</v>
      </c>
      <c r="G13" s="180">
        <v>0</v>
      </c>
      <c r="J13" s="180">
        <v>0</v>
      </c>
      <c r="M13" s="180">
        <v>0</v>
      </c>
      <c r="P13" s="180">
        <v>0</v>
      </c>
      <c r="S13" s="180">
        <v>0</v>
      </c>
      <c r="V13" s="181">
        <f t="shared" si="1"/>
        <v>0</v>
      </c>
      <c r="Z13" s="26"/>
      <c r="AA13" s="58"/>
      <c r="AE13" s="74"/>
      <c r="AF13" s="8"/>
    </row>
    <row r="14" spans="1:33" x14ac:dyDescent="0.25">
      <c r="A14" s="39" t="s">
        <v>181</v>
      </c>
      <c r="B14" s="163">
        <v>0</v>
      </c>
      <c r="C14" s="39" t="s">
        <v>174</v>
      </c>
      <c r="D14" s="180">
        <v>0</v>
      </c>
      <c r="G14" s="180">
        <v>0</v>
      </c>
      <c r="J14" s="180">
        <v>0</v>
      </c>
      <c r="M14" s="180">
        <v>0</v>
      </c>
      <c r="P14" s="180">
        <v>0</v>
      </c>
      <c r="S14" s="180">
        <v>71</v>
      </c>
      <c r="V14" s="181">
        <f t="shared" si="1"/>
        <v>71</v>
      </c>
      <c r="Z14" s="26"/>
      <c r="AA14" s="58"/>
      <c r="AE14" s="74"/>
      <c r="AF14" s="8"/>
      <c r="AG14" s="26"/>
    </row>
    <row r="15" spans="1:33" x14ac:dyDescent="0.25">
      <c r="A15" s="39" t="s">
        <v>48</v>
      </c>
      <c r="B15" s="163">
        <v>0</v>
      </c>
      <c r="C15" s="39" t="s">
        <v>121</v>
      </c>
      <c r="D15" s="180">
        <v>0</v>
      </c>
      <c r="G15" s="180">
        <v>0</v>
      </c>
      <c r="J15" s="180">
        <v>0</v>
      </c>
      <c r="M15" s="180">
        <v>0</v>
      </c>
      <c r="P15" s="180">
        <v>0</v>
      </c>
      <c r="S15" s="180">
        <v>0</v>
      </c>
      <c r="V15" s="181">
        <f t="shared" si="1"/>
        <v>0</v>
      </c>
      <c r="Z15" s="26"/>
      <c r="AA15" s="58"/>
      <c r="AF15" s="8"/>
    </row>
    <row r="16" spans="1:33" x14ac:dyDescent="0.25">
      <c r="A16" s="39" t="s">
        <v>50</v>
      </c>
      <c r="B16" s="163">
        <v>0</v>
      </c>
      <c r="C16" s="39" t="s">
        <v>121</v>
      </c>
      <c r="D16" s="180">
        <v>0</v>
      </c>
      <c r="E16" s="92" t="s">
        <v>84</v>
      </c>
      <c r="F16" s="92" t="s">
        <v>85</v>
      </c>
      <c r="G16" s="180">
        <v>0</v>
      </c>
      <c r="H16" s="92" t="s">
        <v>84</v>
      </c>
      <c r="I16" s="92" t="s">
        <v>85</v>
      </c>
      <c r="J16" s="180">
        <v>0</v>
      </c>
      <c r="K16" s="92" t="s">
        <v>84</v>
      </c>
      <c r="L16" s="92" t="s">
        <v>85</v>
      </c>
      <c r="M16" s="180">
        <v>0</v>
      </c>
      <c r="N16" s="92" t="s">
        <v>84</v>
      </c>
      <c r="O16" s="92" t="s">
        <v>85</v>
      </c>
      <c r="P16" s="180">
        <v>0</v>
      </c>
      <c r="Q16" s="92" t="s">
        <v>84</v>
      </c>
      <c r="R16" s="92" t="s">
        <v>85</v>
      </c>
      <c r="S16" s="180">
        <v>0</v>
      </c>
      <c r="T16" s="92" t="s">
        <v>84</v>
      </c>
      <c r="U16" s="92" t="s">
        <v>85</v>
      </c>
      <c r="V16" s="181">
        <f t="shared" si="1"/>
        <v>0</v>
      </c>
      <c r="W16" s="208" t="s">
        <v>84</v>
      </c>
      <c r="X16" s="208" t="s">
        <v>85</v>
      </c>
      <c r="AA16" s="58"/>
    </row>
    <row r="17" spans="1:33" x14ac:dyDescent="0.25">
      <c r="A17" s="89" t="s">
        <v>53</v>
      </c>
      <c r="B17" s="159">
        <f>SUM(B12:B16)</f>
        <v>0</v>
      </c>
      <c r="C17" s="160"/>
      <c r="D17" s="159">
        <f>SUM(D12:D16)</f>
        <v>0</v>
      </c>
      <c r="E17" s="157">
        <f>D13+D14+D15+D16</f>
        <v>0</v>
      </c>
      <c r="F17" s="157">
        <f>D17-E17</f>
        <v>0</v>
      </c>
      <c r="G17" s="159">
        <f>SUM(G12:G16)</f>
        <v>0</v>
      </c>
      <c r="H17" s="157">
        <f>G13+G14+G15+G16</f>
        <v>0</v>
      </c>
      <c r="I17" s="157">
        <f>G17-H17</f>
        <v>0</v>
      </c>
      <c r="J17" s="159">
        <f>SUM(J12:J16)</f>
        <v>0</v>
      </c>
      <c r="K17" s="157">
        <f>J13+J14+J15+J16</f>
        <v>0</v>
      </c>
      <c r="L17" s="157">
        <f>J17-K17</f>
        <v>0</v>
      </c>
      <c r="M17" s="159">
        <f>SUM(M12:M16)</f>
        <v>0</v>
      </c>
      <c r="N17" s="157">
        <f>M13+M14+M15+M16</f>
        <v>0</v>
      </c>
      <c r="O17" s="157">
        <f>M17-N17</f>
        <v>0</v>
      </c>
      <c r="P17" s="159">
        <f>SUM(P12:P16)</f>
        <v>0</v>
      </c>
      <c r="Q17" s="157">
        <f>P13+P14+P15+P16</f>
        <v>0</v>
      </c>
      <c r="R17" s="157">
        <f>P17-Q17</f>
        <v>0</v>
      </c>
      <c r="S17" s="159">
        <f>SUM(S12:S16)</f>
        <v>71</v>
      </c>
      <c r="T17" s="157">
        <f>S13+S14+S15+S16</f>
        <v>71</v>
      </c>
      <c r="U17" s="157">
        <f>S17-T17</f>
        <v>0</v>
      </c>
      <c r="V17" s="159">
        <f>SUM(V12:V16)</f>
        <v>71</v>
      </c>
      <c r="W17" s="157">
        <f>V13+V14+V15+V16</f>
        <v>71</v>
      </c>
      <c r="X17" s="157">
        <f>V17-W17</f>
        <v>0</v>
      </c>
      <c r="AA17" s="91"/>
    </row>
    <row r="18" spans="1:33" x14ac:dyDescent="0.25">
      <c r="A18" s="89"/>
      <c r="B18" s="88"/>
      <c r="C18" s="39"/>
      <c r="V18" s="26"/>
      <c r="AA18" s="91"/>
    </row>
    <row r="19" spans="1:33" ht="15.75" thickBot="1" x14ac:dyDescent="0.3">
      <c r="A19" s="203"/>
      <c r="B19" s="204"/>
      <c r="C19" s="203"/>
      <c r="D19"/>
      <c r="G19"/>
      <c r="J19"/>
      <c r="M19"/>
      <c r="P19"/>
      <c r="S19"/>
      <c r="AA19" s="91"/>
    </row>
    <row r="20" spans="1:33" ht="45.75" thickBot="1" x14ac:dyDescent="0.3">
      <c r="A20" s="205" t="s">
        <v>3</v>
      </c>
      <c r="B20" s="199" t="s">
        <v>214</v>
      </c>
      <c r="C20" s="206"/>
      <c r="D20" s="200" t="s">
        <v>216</v>
      </c>
      <c r="E20" s="206"/>
      <c r="F20" s="206"/>
      <c r="G20" s="200" t="s">
        <v>217</v>
      </c>
      <c r="H20" s="206"/>
      <c r="I20" s="206"/>
      <c r="J20" s="200" t="s">
        <v>218</v>
      </c>
      <c r="K20" s="206"/>
      <c r="L20" s="206"/>
      <c r="M20" s="200" t="s">
        <v>231</v>
      </c>
      <c r="N20" s="206"/>
      <c r="O20" s="206"/>
      <c r="P20" s="200" t="s">
        <v>232</v>
      </c>
      <c r="Q20" s="206"/>
      <c r="R20" s="206"/>
      <c r="S20" s="200" t="s">
        <v>233</v>
      </c>
      <c r="T20" s="206"/>
      <c r="U20" s="206"/>
      <c r="V20" s="209" t="s">
        <v>215</v>
      </c>
      <c r="AA20" s="90"/>
    </row>
    <row r="21" spans="1:33" x14ac:dyDescent="0.25">
      <c r="A21" s="179" t="s">
        <v>181</v>
      </c>
      <c r="B21" s="184">
        <v>0</v>
      </c>
      <c r="C21" s="179" t="s">
        <v>30</v>
      </c>
      <c r="D21" s="184">
        <v>0</v>
      </c>
      <c r="G21" s="184">
        <v>0</v>
      </c>
      <c r="J21" s="184">
        <v>0</v>
      </c>
      <c r="M21" s="184">
        <v>29</v>
      </c>
      <c r="P21" s="184">
        <v>0</v>
      </c>
      <c r="S21" s="184">
        <v>0</v>
      </c>
      <c r="V21" s="181">
        <f t="shared" ref="V21:V23" si="2">D21+G21+J21+M21+P21+S21</f>
        <v>29</v>
      </c>
      <c r="AA21" s="58"/>
      <c r="AF21" s="8"/>
    </row>
    <row r="22" spans="1:33" x14ac:dyDescent="0.25">
      <c r="A22" s="39" t="s">
        <v>234</v>
      </c>
      <c r="B22" s="40">
        <v>0</v>
      </c>
      <c r="C22" s="39" t="s">
        <v>30</v>
      </c>
      <c r="D22" s="184">
        <v>0</v>
      </c>
      <c r="G22" s="184">
        <v>0</v>
      </c>
      <c r="J22" s="184">
        <v>0</v>
      </c>
      <c r="M22" s="184">
        <v>0</v>
      </c>
      <c r="P22" s="184">
        <v>0</v>
      </c>
      <c r="S22" s="184">
        <v>0</v>
      </c>
      <c r="V22" s="181">
        <f t="shared" si="2"/>
        <v>0</v>
      </c>
      <c r="AA22" s="58"/>
    </row>
    <row r="23" spans="1:33" x14ac:dyDescent="0.25">
      <c r="A23" s="39" t="s">
        <v>234</v>
      </c>
      <c r="B23" s="40">
        <v>0</v>
      </c>
      <c r="C23" s="39" t="s">
        <v>30</v>
      </c>
      <c r="D23" s="184">
        <v>0</v>
      </c>
      <c r="E23" s="92" t="s">
        <v>84</v>
      </c>
      <c r="F23" s="92" t="s">
        <v>85</v>
      </c>
      <c r="G23" s="184">
        <v>0</v>
      </c>
      <c r="H23" s="92" t="s">
        <v>84</v>
      </c>
      <c r="I23" s="92" t="s">
        <v>85</v>
      </c>
      <c r="J23" s="184">
        <v>0</v>
      </c>
      <c r="K23" s="92" t="s">
        <v>84</v>
      </c>
      <c r="L23" s="92" t="s">
        <v>85</v>
      </c>
      <c r="M23" s="184">
        <v>0</v>
      </c>
      <c r="N23" s="92" t="s">
        <v>84</v>
      </c>
      <c r="O23" s="92" t="s">
        <v>85</v>
      </c>
      <c r="P23" s="184">
        <v>0</v>
      </c>
      <c r="Q23" s="92" t="s">
        <v>84</v>
      </c>
      <c r="R23" s="92" t="s">
        <v>85</v>
      </c>
      <c r="S23" s="184">
        <v>0</v>
      </c>
      <c r="T23" s="92" t="s">
        <v>84</v>
      </c>
      <c r="U23" s="92" t="s">
        <v>85</v>
      </c>
      <c r="V23" s="181">
        <f t="shared" si="2"/>
        <v>0</v>
      </c>
      <c r="W23" s="208" t="s">
        <v>84</v>
      </c>
      <c r="X23" s="208" t="s">
        <v>85</v>
      </c>
      <c r="AA23" s="58"/>
    </row>
    <row r="24" spans="1:33" x14ac:dyDescent="0.25">
      <c r="A24" s="89" t="s">
        <v>53</v>
      </c>
      <c r="B24" s="159">
        <f>SUM(B21:B23)</f>
        <v>0</v>
      </c>
      <c r="C24" s="160"/>
      <c r="D24" s="159">
        <f>SUM(D21:D23)</f>
        <v>0</v>
      </c>
      <c r="E24" s="157">
        <f>D21+D22+D23</f>
        <v>0</v>
      </c>
      <c r="F24" s="157">
        <f>D24-E24</f>
        <v>0</v>
      </c>
      <c r="G24" s="159">
        <f>SUM(G21:G23)</f>
        <v>0</v>
      </c>
      <c r="H24" s="157">
        <f>G21+G22+G23</f>
        <v>0</v>
      </c>
      <c r="I24" s="157">
        <f>G24-H24</f>
        <v>0</v>
      </c>
      <c r="J24" s="159">
        <f>SUM(J21:J23)</f>
        <v>0</v>
      </c>
      <c r="K24" s="157">
        <f>J21+J22+J23</f>
        <v>0</v>
      </c>
      <c r="L24" s="157">
        <f>J24-K24</f>
        <v>0</v>
      </c>
      <c r="M24" s="159">
        <f>SUM(M21:M23)</f>
        <v>29</v>
      </c>
      <c r="N24" s="157">
        <f>M21+M22+M23</f>
        <v>29</v>
      </c>
      <c r="O24" s="157">
        <f>M24-N24</f>
        <v>0</v>
      </c>
      <c r="P24" s="159">
        <f>SUM(P21:P23)</f>
        <v>0</v>
      </c>
      <c r="Q24" s="157">
        <f>P21+P22+P23</f>
        <v>0</v>
      </c>
      <c r="R24" s="157">
        <f>P24-Q24</f>
        <v>0</v>
      </c>
      <c r="S24" s="159">
        <f>SUM(S21:S23)</f>
        <v>0</v>
      </c>
      <c r="T24" s="157">
        <f>S21+S22+S23</f>
        <v>0</v>
      </c>
      <c r="U24" s="157">
        <f>S24-T24</f>
        <v>0</v>
      </c>
      <c r="V24" s="159">
        <f>SUM(V21:V23)</f>
        <v>29</v>
      </c>
      <c r="W24" s="157">
        <f>V21+V22+V23</f>
        <v>29</v>
      </c>
      <c r="X24" s="157">
        <f>V24-W24</f>
        <v>0</v>
      </c>
      <c r="AA24" s="91"/>
    </row>
    <row r="25" spans="1:33" x14ac:dyDescent="0.25">
      <c r="A25" s="39"/>
      <c r="B25" s="40"/>
      <c r="C25" s="39"/>
      <c r="F25" s="26"/>
      <c r="I25" s="26"/>
      <c r="L25" s="26"/>
      <c r="O25" s="26"/>
      <c r="R25" s="26"/>
      <c r="U25" s="26"/>
      <c r="V25" s="26"/>
      <c r="X25" s="26"/>
      <c r="AA25" s="91"/>
    </row>
    <row r="26" spans="1:33" ht="15.75" thickBot="1" x14ac:dyDescent="0.3">
      <c r="A26" s="203"/>
      <c r="B26" s="204"/>
      <c r="C26" s="203"/>
      <c r="F26" s="26"/>
      <c r="I26" s="26"/>
      <c r="L26" s="26"/>
      <c r="O26" s="26"/>
      <c r="R26" s="26"/>
      <c r="U26" s="26"/>
      <c r="V26" s="26"/>
      <c r="X26" s="26"/>
      <c r="AA26" s="26"/>
    </row>
    <row r="27" spans="1:33" ht="45.75" thickBot="1" x14ac:dyDescent="0.3">
      <c r="A27" s="205" t="s">
        <v>33</v>
      </c>
      <c r="B27" s="199" t="s">
        <v>214</v>
      </c>
      <c r="C27" s="206"/>
      <c r="D27" s="200" t="s">
        <v>216</v>
      </c>
      <c r="E27" s="206"/>
      <c r="F27" s="206"/>
      <c r="G27" s="200" t="s">
        <v>217</v>
      </c>
      <c r="H27" s="206"/>
      <c r="I27" s="206"/>
      <c r="J27" s="200" t="s">
        <v>218</v>
      </c>
      <c r="K27" s="206"/>
      <c r="L27" s="206"/>
      <c r="M27" s="200" t="s">
        <v>231</v>
      </c>
      <c r="N27" s="206"/>
      <c r="O27" s="206"/>
      <c r="P27" s="200" t="s">
        <v>232</v>
      </c>
      <c r="Q27" s="206"/>
      <c r="R27" s="206"/>
      <c r="S27" s="200" t="s">
        <v>233</v>
      </c>
      <c r="T27" s="206"/>
      <c r="U27" s="206"/>
      <c r="V27" s="209" t="s">
        <v>215</v>
      </c>
      <c r="X27" s="26"/>
      <c r="AA27" s="90"/>
      <c r="AF27" s="8"/>
    </row>
    <row r="28" spans="1:33" x14ac:dyDescent="0.25">
      <c r="A28" s="39" t="s">
        <v>12</v>
      </c>
      <c r="B28" s="163">
        <v>0</v>
      </c>
      <c r="C28" s="39" t="s">
        <v>179</v>
      </c>
      <c r="D28" s="180">
        <v>0</v>
      </c>
      <c r="E28" s="26"/>
      <c r="F28" s="26"/>
      <c r="G28" s="180">
        <v>13</v>
      </c>
      <c r="H28" s="26"/>
      <c r="I28" s="26"/>
      <c r="J28" s="180">
        <v>0</v>
      </c>
      <c r="K28" s="26"/>
      <c r="L28" s="26"/>
      <c r="M28" s="180">
        <v>0</v>
      </c>
      <c r="N28" s="26"/>
      <c r="O28" s="26"/>
      <c r="P28" s="180">
        <v>5</v>
      </c>
      <c r="Q28" s="26"/>
      <c r="R28" s="26"/>
      <c r="S28" s="180">
        <v>0</v>
      </c>
      <c r="T28" s="26"/>
      <c r="U28" s="26"/>
      <c r="V28" s="181">
        <f t="shared" ref="V28:V32" si="3">D28+G28+J28+M28+P28+S28</f>
        <v>18</v>
      </c>
      <c r="W28" s="26"/>
      <c r="X28" s="26"/>
      <c r="Y28" s="26"/>
      <c r="Z28" s="74"/>
      <c r="AA28" s="58"/>
      <c r="AB28" s="26"/>
      <c r="AD28" s="6"/>
    </row>
    <row r="29" spans="1:33" x14ac:dyDescent="0.25">
      <c r="A29" s="39" t="s">
        <v>9</v>
      </c>
      <c r="B29" s="163">
        <v>0</v>
      </c>
      <c r="C29" s="39" t="s">
        <v>179</v>
      </c>
      <c r="D29" s="180">
        <v>0</v>
      </c>
      <c r="E29" s="26"/>
      <c r="F29" s="26"/>
      <c r="G29" s="180">
        <v>77</v>
      </c>
      <c r="H29" s="26"/>
      <c r="I29" s="26"/>
      <c r="J29" s="180">
        <v>4</v>
      </c>
      <c r="K29" s="26"/>
      <c r="L29" s="26"/>
      <c r="M29" s="180">
        <v>0</v>
      </c>
      <c r="N29" s="26"/>
      <c r="O29" s="26"/>
      <c r="P29" s="180">
        <v>41</v>
      </c>
      <c r="Q29" s="26"/>
      <c r="R29" s="26"/>
      <c r="S29" s="180">
        <v>0</v>
      </c>
      <c r="T29" s="26"/>
      <c r="U29" s="26"/>
      <c r="V29" s="181">
        <f t="shared" si="3"/>
        <v>122</v>
      </c>
      <c r="W29" s="26"/>
      <c r="X29" s="26"/>
      <c r="Y29" s="26"/>
      <c r="AA29" s="58"/>
      <c r="AB29" s="26"/>
      <c r="AD29" s="6"/>
      <c r="AF29" s="8"/>
    </row>
    <row r="30" spans="1:33" x14ac:dyDescent="0.25">
      <c r="A30" s="39" t="s">
        <v>181</v>
      </c>
      <c r="B30" s="163">
        <v>0</v>
      </c>
      <c r="C30" s="39" t="s">
        <v>179</v>
      </c>
      <c r="D30" s="163">
        <v>0</v>
      </c>
      <c r="G30" s="180">
        <v>0</v>
      </c>
      <c r="J30" s="180">
        <v>0</v>
      </c>
      <c r="M30" s="180">
        <v>0</v>
      </c>
      <c r="P30" s="180">
        <v>0</v>
      </c>
      <c r="S30" s="180">
        <v>0</v>
      </c>
      <c r="V30" s="181">
        <f t="shared" si="3"/>
        <v>0</v>
      </c>
      <c r="Z30" s="26"/>
      <c r="AA30" s="58"/>
      <c r="AF30" s="8"/>
      <c r="AG30" s="26"/>
    </row>
    <row r="31" spans="1:33" x14ac:dyDescent="0.25">
      <c r="A31" s="39" t="s">
        <v>48</v>
      </c>
      <c r="B31" s="163">
        <v>0</v>
      </c>
      <c r="C31" s="39" t="s">
        <v>179</v>
      </c>
      <c r="D31" s="163">
        <v>0</v>
      </c>
      <c r="G31" s="180">
        <v>0</v>
      </c>
      <c r="J31" s="180">
        <v>0</v>
      </c>
      <c r="M31" s="180">
        <v>0</v>
      </c>
      <c r="P31" s="180">
        <v>0</v>
      </c>
      <c r="S31" s="180">
        <v>0</v>
      </c>
      <c r="V31" s="181">
        <f t="shared" si="3"/>
        <v>0</v>
      </c>
      <c r="Z31" s="26"/>
      <c r="AA31" s="58"/>
      <c r="AF31" s="8"/>
    </row>
    <row r="32" spans="1:33" x14ac:dyDescent="0.25">
      <c r="A32" s="39" t="s">
        <v>50</v>
      </c>
      <c r="B32" s="163">
        <v>0</v>
      </c>
      <c r="C32" s="39" t="s">
        <v>179</v>
      </c>
      <c r="D32" s="180">
        <v>0</v>
      </c>
      <c r="E32" s="92" t="s">
        <v>84</v>
      </c>
      <c r="F32" s="92" t="s">
        <v>85</v>
      </c>
      <c r="G32" s="180">
        <v>0</v>
      </c>
      <c r="H32" s="92" t="s">
        <v>84</v>
      </c>
      <c r="I32" s="92" t="s">
        <v>85</v>
      </c>
      <c r="J32" s="180">
        <v>0</v>
      </c>
      <c r="K32" s="92" t="s">
        <v>84</v>
      </c>
      <c r="L32" s="92" t="s">
        <v>85</v>
      </c>
      <c r="M32" s="180">
        <v>0</v>
      </c>
      <c r="N32" s="92" t="s">
        <v>84</v>
      </c>
      <c r="O32" s="92" t="s">
        <v>85</v>
      </c>
      <c r="P32" s="180">
        <v>0</v>
      </c>
      <c r="Q32" s="92" t="s">
        <v>84</v>
      </c>
      <c r="R32" s="92" t="s">
        <v>85</v>
      </c>
      <c r="S32" s="180">
        <v>0</v>
      </c>
      <c r="T32" s="92" t="s">
        <v>84</v>
      </c>
      <c r="U32" s="92" t="s">
        <v>85</v>
      </c>
      <c r="V32" s="181">
        <f t="shared" si="3"/>
        <v>0</v>
      </c>
      <c r="W32" s="208" t="s">
        <v>84</v>
      </c>
      <c r="X32" s="208" t="s">
        <v>85</v>
      </c>
      <c r="AA32" s="58"/>
    </row>
    <row r="33" spans="1:33" x14ac:dyDescent="0.25">
      <c r="A33" s="89" t="s">
        <v>53</v>
      </c>
      <c r="B33" s="159">
        <f>SUM(B28:B32)</f>
        <v>0</v>
      </c>
      <c r="C33" s="160"/>
      <c r="D33" s="159">
        <f>SUM(D28:D32)</f>
        <v>0</v>
      </c>
      <c r="E33" s="157">
        <f>D29+D30+D31+D32</f>
        <v>0</v>
      </c>
      <c r="F33" s="157">
        <f>D33-E33</f>
        <v>0</v>
      </c>
      <c r="G33" s="159">
        <f>SUM(G28:G32)</f>
        <v>90</v>
      </c>
      <c r="H33" s="157">
        <f>G29+G30+G31+G32</f>
        <v>77</v>
      </c>
      <c r="I33" s="157">
        <f>G33-H33</f>
        <v>13</v>
      </c>
      <c r="J33" s="159">
        <f>SUM(J28:J32)</f>
        <v>4</v>
      </c>
      <c r="K33" s="157">
        <f>J29+J30+J31+J32</f>
        <v>4</v>
      </c>
      <c r="L33" s="157">
        <f>J33-K33</f>
        <v>0</v>
      </c>
      <c r="M33" s="159">
        <f>SUM(M28:M32)</f>
        <v>0</v>
      </c>
      <c r="N33" s="157">
        <f>M29+M30+M31+M32</f>
        <v>0</v>
      </c>
      <c r="O33" s="157">
        <f>M33-N33</f>
        <v>0</v>
      </c>
      <c r="P33" s="159">
        <f>SUM(P28:P32)</f>
        <v>46</v>
      </c>
      <c r="Q33" s="157">
        <f>P29+P30+P31+P32</f>
        <v>41</v>
      </c>
      <c r="R33" s="157">
        <f>P33-Q33</f>
        <v>5</v>
      </c>
      <c r="S33" s="159">
        <f>SUM(S28:S32)</f>
        <v>0</v>
      </c>
      <c r="T33" s="157">
        <f>S29+S30+S31+S32</f>
        <v>0</v>
      </c>
      <c r="U33" s="157">
        <f>S33-T33</f>
        <v>0</v>
      </c>
      <c r="V33" s="159">
        <f>SUM(V28:V32)</f>
        <v>140</v>
      </c>
      <c r="W33" s="157">
        <f>V29+V30+V31+V32</f>
        <v>122</v>
      </c>
      <c r="X33" s="157">
        <f>V33-W33</f>
        <v>18</v>
      </c>
      <c r="AA33" s="91"/>
    </row>
    <row r="34" spans="1:33" x14ac:dyDescent="0.25">
      <c r="A34" s="39"/>
      <c r="B34" s="40"/>
      <c r="C34" s="39"/>
      <c r="V34" s="26"/>
      <c r="AA34" s="91"/>
    </row>
    <row r="35" spans="1:33" ht="15.75" thickBot="1" x14ac:dyDescent="0.3">
      <c r="A35" s="203"/>
      <c r="B35" s="204"/>
      <c r="C35" s="203"/>
      <c r="V35" s="26"/>
      <c r="AA35" s="26"/>
    </row>
    <row r="36" spans="1:33" ht="45.75" thickBot="1" x14ac:dyDescent="0.3">
      <c r="A36" s="205" t="s">
        <v>2</v>
      </c>
      <c r="B36" s="199" t="s">
        <v>214</v>
      </c>
      <c r="C36" s="206"/>
      <c r="D36" s="200" t="s">
        <v>216</v>
      </c>
      <c r="E36" s="206"/>
      <c r="F36" s="206"/>
      <c r="G36" s="200" t="s">
        <v>217</v>
      </c>
      <c r="H36" s="206"/>
      <c r="I36" s="206"/>
      <c r="J36" s="200" t="s">
        <v>218</v>
      </c>
      <c r="K36" s="206"/>
      <c r="L36" s="206"/>
      <c r="M36" s="200" t="s">
        <v>231</v>
      </c>
      <c r="N36" s="206"/>
      <c r="O36" s="206"/>
      <c r="P36" s="200" t="s">
        <v>232</v>
      </c>
      <c r="Q36" s="206"/>
      <c r="R36" s="206"/>
      <c r="S36" s="200" t="s">
        <v>233</v>
      </c>
      <c r="T36" s="206"/>
      <c r="U36" s="206"/>
      <c r="V36" s="209" t="s">
        <v>215</v>
      </c>
      <c r="X36" s="26"/>
      <c r="Z36" s="26"/>
      <c r="AA36" s="26"/>
      <c r="AB36" s="74"/>
    </row>
    <row r="37" spans="1:33" x14ac:dyDescent="0.25">
      <c r="A37" s="179" t="s">
        <v>12</v>
      </c>
      <c r="B37" s="163">
        <v>0</v>
      </c>
      <c r="C37" s="179" t="s">
        <v>180</v>
      </c>
      <c r="D37" s="184">
        <v>0</v>
      </c>
      <c r="E37" s="26"/>
      <c r="F37" s="26"/>
      <c r="G37" s="184">
        <v>0</v>
      </c>
      <c r="H37" s="26"/>
      <c r="I37" s="26"/>
      <c r="J37" s="184">
        <v>0</v>
      </c>
      <c r="K37" s="26"/>
      <c r="L37" s="26"/>
      <c r="M37" s="184">
        <v>0</v>
      </c>
      <c r="N37" s="26"/>
      <c r="O37" s="26"/>
      <c r="P37" s="184">
        <v>0</v>
      </c>
      <c r="Q37" s="26"/>
      <c r="R37" s="26"/>
      <c r="S37" s="184">
        <v>0</v>
      </c>
      <c r="T37" s="26"/>
      <c r="U37" s="26"/>
      <c r="V37" s="181">
        <f t="shared" ref="V37:V46" si="4">D37+G37+J37+M37+P37+S37</f>
        <v>0</v>
      </c>
      <c r="W37" s="26"/>
      <c r="X37" s="26"/>
      <c r="Y37" s="26"/>
      <c r="Z37" s="26"/>
      <c r="AA37" s="58"/>
      <c r="AB37" s="74"/>
      <c r="AD37" s="6"/>
      <c r="AG37" s="26"/>
    </row>
    <row r="38" spans="1:33" x14ac:dyDescent="0.25">
      <c r="A38" s="179" t="s">
        <v>12</v>
      </c>
      <c r="B38" s="163">
        <v>0</v>
      </c>
      <c r="C38" s="179" t="s">
        <v>197</v>
      </c>
      <c r="D38" s="184">
        <v>0</v>
      </c>
      <c r="E38" s="26"/>
      <c r="F38" s="26"/>
      <c r="G38" s="184">
        <v>0</v>
      </c>
      <c r="H38" s="26"/>
      <c r="I38" s="26"/>
      <c r="J38" s="184">
        <v>0</v>
      </c>
      <c r="K38" s="26"/>
      <c r="L38" s="26"/>
      <c r="M38" s="184">
        <v>0</v>
      </c>
      <c r="N38" s="26"/>
      <c r="O38" s="26"/>
      <c r="P38" s="184">
        <v>0</v>
      </c>
      <c r="Q38" s="26"/>
      <c r="R38" s="26"/>
      <c r="S38" s="184">
        <v>0</v>
      </c>
      <c r="T38" s="26"/>
      <c r="U38" s="26"/>
      <c r="V38" s="181">
        <f t="shared" si="4"/>
        <v>0</v>
      </c>
      <c r="W38" s="26"/>
      <c r="X38" s="26"/>
      <c r="Y38" s="26"/>
      <c r="Z38" s="26"/>
      <c r="AA38" s="58"/>
      <c r="AB38" s="74"/>
      <c r="AD38" s="6"/>
      <c r="AG38" s="26"/>
    </row>
    <row r="39" spans="1:33" x14ac:dyDescent="0.25">
      <c r="A39" s="179" t="s">
        <v>12</v>
      </c>
      <c r="B39" s="163">
        <v>0</v>
      </c>
      <c r="C39" s="179" t="s">
        <v>198</v>
      </c>
      <c r="D39" s="184">
        <v>0</v>
      </c>
      <c r="E39" s="26"/>
      <c r="F39" s="26"/>
      <c r="G39" s="184">
        <v>0</v>
      </c>
      <c r="H39" s="26"/>
      <c r="I39" s="26"/>
      <c r="J39" s="184">
        <v>0</v>
      </c>
      <c r="K39" s="26"/>
      <c r="L39" s="26"/>
      <c r="M39" s="184">
        <v>0</v>
      </c>
      <c r="N39" s="26"/>
      <c r="O39" s="26"/>
      <c r="P39" s="184">
        <v>0</v>
      </c>
      <c r="Q39" s="26"/>
      <c r="R39" s="26"/>
      <c r="S39" s="184">
        <v>0</v>
      </c>
      <c r="T39" s="26"/>
      <c r="U39" s="26"/>
      <c r="V39" s="181">
        <f t="shared" si="4"/>
        <v>0</v>
      </c>
      <c r="W39" s="26"/>
      <c r="X39" s="26"/>
      <c r="Y39" s="26"/>
      <c r="Z39" s="26"/>
      <c r="AA39" s="58"/>
      <c r="AB39" s="74"/>
      <c r="AD39" s="6"/>
      <c r="AG39" s="26"/>
    </row>
    <row r="40" spans="1:33" x14ac:dyDescent="0.25">
      <c r="A40" s="179" t="s">
        <v>12</v>
      </c>
      <c r="B40" s="163">
        <v>0</v>
      </c>
      <c r="C40" s="179" t="s">
        <v>206</v>
      </c>
      <c r="D40" s="184">
        <v>0</v>
      </c>
      <c r="E40" s="26"/>
      <c r="F40" s="26"/>
      <c r="G40" s="184">
        <v>0</v>
      </c>
      <c r="H40" s="26"/>
      <c r="I40" s="26"/>
      <c r="J40" s="184">
        <v>0</v>
      </c>
      <c r="K40" s="26"/>
      <c r="L40" s="26"/>
      <c r="M40" s="184">
        <v>0</v>
      </c>
      <c r="N40" s="26"/>
      <c r="O40" s="26"/>
      <c r="P40" s="184">
        <v>0</v>
      </c>
      <c r="Q40" s="26"/>
      <c r="R40" s="26"/>
      <c r="S40" s="184">
        <v>0</v>
      </c>
      <c r="T40" s="26"/>
      <c r="U40" s="26"/>
      <c r="V40" s="181">
        <f t="shared" si="4"/>
        <v>0</v>
      </c>
      <c r="W40" s="26"/>
      <c r="X40" s="26"/>
      <c r="Y40" s="26"/>
      <c r="Z40" s="26"/>
      <c r="AA40" s="58"/>
      <c r="AB40" s="74"/>
      <c r="AD40" s="6"/>
      <c r="AG40" s="26"/>
    </row>
    <row r="41" spans="1:33" x14ac:dyDescent="0.25">
      <c r="A41" s="39" t="s">
        <v>49</v>
      </c>
      <c r="B41" s="163">
        <v>0</v>
      </c>
      <c r="C41" s="39" t="s">
        <v>180</v>
      </c>
      <c r="D41" s="184">
        <v>0</v>
      </c>
      <c r="E41" s="26"/>
      <c r="G41" s="184">
        <v>0</v>
      </c>
      <c r="H41" s="26"/>
      <c r="J41" s="184">
        <v>0</v>
      </c>
      <c r="K41" s="26"/>
      <c r="M41" s="184">
        <v>0</v>
      </c>
      <c r="N41" s="26"/>
      <c r="P41" s="184">
        <v>0</v>
      </c>
      <c r="Q41" s="26"/>
      <c r="S41" s="184">
        <v>0</v>
      </c>
      <c r="T41" s="26"/>
      <c r="V41" s="181">
        <f t="shared" si="4"/>
        <v>0</v>
      </c>
      <c r="W41" s="26"/>
      <c r="Z41" s="26"/>
      <c r="AA41" s="26"/>
      <c r="AB41" s="74"/>
    </row>
    <row r="42" spans="1:33" x14ac:dyDescent="0.25">
      <c r="A42" s="39" t="s">
        <v>49</v>
      </c>
      <c r="B42" s="163">
        <v>0</v>
      </c>
      <c r="C42" s="39" t="s">
        <v>206</v>
      </c>
      <c r="D42" s="184">
        <v>0</v>
      </c>
      <c r="E42" s="26"/>
      <c r="G42" s="184">
        <v>0</v>
      </c>
      <c r="H42" s="26"/>
      <c r="J42" s="184">
        <v>0</v>
      </c>
      <c r="K42" s="26"/>
      <c r="M42" s="184">
        <v>0</v>
      </c>
      <c r="N42" s="26"/>
      <c r="P42" s="184">
        <v>0</v>
      </c>
      <c r="Q42" s="26"/>
      <c r="S42" s="184">
        <v>0</v>
      </c>
      <c r="T42" s="26"/>
      <c r="V42" s="181">
        <f t="shared" si="4"/>
        <v>0</v>
      </c>
      <c r="W42" s="26"/>
      <c r="Z42" s="26"/>
      <c r="AA42" s="26"/>
      <c r="AB42" s="74"/>
    </row>
    <row r="43" spans="1:33" x14ac:dyDescent="0.25">
      <c r="A43" s="39" t="s">
        <v>49</v>
      </c>
      <c r="B43" s="163">
        <v>0</v>
      </c>
      <c r="C43" s="39" t="s">
        <v>197</v>
      </c>
      <c r="D43" s="184">
        <v>0</v>
      </c>
      <c r="E43" s="26"/>
      <c r="G43" s="184">
        <v>0</v>
      </c>
      <c r="H43" s="26"/>
      <c r="J43" s="184">
        <v>0</v>
      </c>
      <c r="K43" s="26"/>
      <c r="M43" s="184">
        <v>0</v>
      </c>
      <c r="N43" s="26"/>
      <c r="P43" s="184">
        <v>0</v>
      </c>
      <c r="Q43" s="26"/>
      <c r="S43" s="184">
        <v>0</v>
      </c>
      <c r="T43" s="26"/>
      <c r="V43" s="181">
        <f t="shared" si="4"/>
        <v>0</v>
      </c>
      <c r="W43" s="26"/>
      <c r="Z43" s="26"/>
      <c r="AA43" s="26"/>
      <c r="AB43" s="74"/>
    </row>
    <row r="44" spans="1:33" x14ac:dyDescent="0.25">
      <c r="A44" s="39" t="s">
        <v>49</v>
      </c>
      <c r="B44" s="163">
        <v>0</v>
      </c>
      <c r="C44" s="39" t="s">
        <v>71</v>
      </c>
      <c r="D44" s="184">
        <v>0</v>
      </c>
      <c r="E44" s="26"/>
      <c r="G44" s="184">
        <v>0</v>
      </c>
      <c r="H44" s="26"/>
      <c r="J44" s="184">
        <v>0</v>
      </c>
      <c r="K44" s="26"/>
      <c r="M44" s="184">
        <v>0</v>
      </c>
      <c r="N44" s="26"/>
      <c r="P44" s="184">
        <v>0</v>
      </c>
      <c r="Q44" s="26"/>
      <c r="S44" s="184">
        <v>0</v>
      </c>
      <c r="T44" s="26"/>
      <c r="V44" s="181">
        <f t="shared" si="4"/>
        <v>0</v>
      </c>
      <c r="W44" s="26"/>
      <c r="Z44" s="26"/>
      <c r="AA44" s="26"/>
      <c r="AB44" s="74"/>
    </row>
    <row r="45" spans="1:33" x14ac:dyDescent="0.25">
      <c r="A45" s="39" t="s">
        <v>181</v>
      </c>
      <c r="B45" s="163">
        <v>0</v>
      </c>
      <c r="C45" s="39" t="s">
        <v>180</v>
      </c>
      <c r="D45" s="184">
        <v>0</v>
      </c>
      <c r="E45" s="26"/>
      <c r="G45" s="184">
        <v>0</v>
      </c>
      <c r="H45" s="26"/>
      <c r="J45" s="184">
        <v>0</v>
      </c>
      <c r="K45" s="26"/>
      <c r="M45" s="184">
        <v>0</v>
      </c>
      <c r="N45" s="26"/>
      <c r="P45" s="184">
        <v>0</v>
      </c>
      <c r="Q45" s="26"/>
      <c r="S45" s="184">
        <v>0</v>
      </c>
      <c r="T45" s="26"/>
      <c r="V45" s="181">
        <f t="shared" si="4"/>
        <v>0</v>
      </c>
      <c r="W45" s="26"/>
      <c r="Z45" s="26"/>
      <c r="AA45" s="26"/>
      <c r="AB45" s="74"/>
    </row>
    <row r="46" spans="1:33" x14ac:dyDescent="0.25">
      <c r="A46" s="39" t="s">
        <v>181</v>
      </c>
      <c r="B46" s="163">
        <v>0</v>
      </c>
      <c r="C46" s="39" t="s">
        <v>71</v>
      </c>
      <c r="D46" s="184">
        <v>0</v>
      </c>
      <c r="E46" s="92" t="s">
        <v>84</v>
      </c>
      <c r="F46" s="92" t="s">
        <v>85</v>
      </c>
      <c r="G46" s="184">
        <v>0</v>
      </c>
      <c r="H46" s="92" t="s">
        <v>84</v>
      </c>
      <c r="I46" s="92" t="s">
        <v>85</v>
      </c>
      <c r="J46" s="184">
        <v>0</v>
      </c>
      <c r="K46" s="92" t="s">
        <v>84</v>
      </c>
      <c r="L46" s="92" t="s">
        <v>85</v>
      </c>
      <c r="M46" s="184">
        <v>0</v>
      </c>
      <c r="N46" s="92" t="s">
        <v>84</v>
      </c>
      <c r="O46" s="92" t="s">
        <v>85</v>
      </c>
      <c r="P46" s="184">
        <v>0</v>
      </c>
      <c r="Q46" s="92" t="s">
        <v>84</v>
      </c>
      <c r="R46" s="92" t="s">
        <v>85</v>
      </c>
      <c r="S46" s="184">
        <v>0</v>
      </c>
      <c r="T46" s="92" t="s">
        <v>84</v>
      </c>
      <c r="U46" s="92" t="s">
        <v>85</v>
      </c>
      <c r="V46" s="181">
        <f t="shared" si="4"/>
        <v>0</v>
      </c>
      <c r="W46" s="208" t="s">
        <v>84</v>
      </c>
      <c r="X46" s="208" t="s">
        <v>85</v>
      </c>
      <c r="Z46" s="26"/>
      <c r="AA46" s="26"/>
      <c r="AD46" s="6"/>
      <c r="AF46" s="8"/>
    </row>
    <row r="47" spans="1:33" x14ac:dyDescent="0.25">
      <c r="A47" s="89" t="s">
        <v>53</v>
      </c>
      <c r="B47" s="159">
        <f>SUM(B37:B46)</f>
        <v>0</v>
      </c>
      <c r="C47" s="160"/>
      <c r="D47" s="159">
        <f>SUM(D37:D46)</f>
        <v>0</v>
      </c>
      <c r="E47" s="157">
        <f>D41+D42+D43+D44+D45+D46</f>
        <v>0</v>
      </c>
      <c r="F47" s="157">
        <f>D47-E47</f>
        <v>0</v>
      </c>
      <c r="G47" s="159">
        <f>SUM(G37:G46)</f>
        <v>0</v>
      </c>
      <c r="H47" s="157">
        <f>G41+G42+G43+G44+G45+G46</f>
        <v>0</v>
      </c>
      <c r="I47" s="157">
        <f>G47-H47</f>
        <v>0</v>
      </c>
      <c r="J47" s="159">
        <f>SUM(J37:J46)</f>
        <v>0</v>
      </c>
      <c r="K47" s="157">
        <f>J41+J42+J43+J44+J45+J46</f>
        <v>0</v>
      </c>
      <c r="L47" s="157">
        <f>J47-K47</f>
        <v>0</v>
      </c>
      <c r="M47" s="159">
        <f>SUM(M37:M46)</f>
        <v>0</v>
      </c>
      <c r="N47" s="157">
        <f>M41+M42+M43+M44+M45+M46</f>
        <v>0</v>
      </c>
      <c r="O47" s="157">
        <f>M47-N47</f>
        <v>0</v>
      </c>
      <c r="P47" s="159">
        <f>SUM(P37:P46)</f>
        <v>0</v>
      </c>
      <c r="Q47" s="157">
        <f>P41+P42+P43+P44+P45+P46</f>
        <v>0</v>
      </c>
      <c r="R47" s="157">
        <f>P47-Q47</f>
        <v>0</v>
      </c>
      <c r="S47" s="159">
        <f>SUM(S37:S46)</f>
        <v>0</v>
      </c>
      <c r="T47" s="157">
        <f>S41+S42+S43+S44+S45+S46</f>
        <v>0</v>
      </c>
      <c r="U47" s="157">
        <f>S47-T47</f>
        <v>0</v>
      </c>
      <c r="V47" s="159">
        <f>SUM(V37:V46)</f>
        <v>0</v>
      </c>
      <c r="W47" s="157">
        <f>V41+V42+V43+V44+V45+V46</f>
        <v>0</v>
      </c>
      <c r="X47" s="157">
        <f>V47-W47</f>
        <v>0</v>
      </c>
      <c r="AA47" s="26"/>
    </row>
    <row r="48" spans="1:33" x14ac:dyDescent="0.25">
      <c r="A48" s="39"/>
      <c r="B48" s="40"/>
      <c r="C48" s="39"/>
      <c r="E48" s="183"/>
      <c r="F48" s="183"/>
      <c r="H48" s="183"/>
      <c r="I48" s="183"/>
      <c r="K48" s="183"/>
      <c r="L48" s="183"/>
      <c r="N48" s="183"/>
      <c r="O48" s="183"/>
      <c r="Q48" s="183"/>
      <c r="R48" s="183"/>
      <c r="T48" s="183"/>
      <c r="U48" s="183"/>
      <c r="V48" s="26"/>
      <c r="W48" s="183"/>
      <c r="X48" s="183"/>
      <c r="Z48" s="167"/>
      <c r="AA48" s="26"/>
    </row>
    <row r="49" spans="1:33" ht="15.75" thickBot="1" x14ac:dyDescent="0.3">
      <c r="A49" s="203"/>
      <c r="B49" s="204"/>
      <c r="C49" s="203"/>
      <c r="E49" s="26"/>
      <c r="F49" s="26"/>
      <c r="H49" s="26"/>
      <c r="I49" s="26"/>
      <c r="K49" s="26"/>
      <c r="L49" s="26"/>
      <c r="N49" s="26"/>
      <c r="O49" s="26"/>
      <c r="Q49" s="26"/>
      <c r="R49" s="26"/>
      <c r="T49" s="26"/>
      <c r="U49" s="26"/>
      <c r="V49" s="26"/>
      <c r="W49" s="26"/>
      <c r="X49" s="26"/>
      <c r="AA49" s="59"/>
    </row>
    <row r="50" spans="1:33" ht="45.75" thickBot="1" x14ac:dyDescent="0.3">
      <c r="A50" s="205" t="s">
        <v>82</v>
      </c>
      <c r="B50" s="199" t="s">
        <v>214</v>
      </c>
      <c r="C50" s="206"/>
      <c r="D50" s="200" t="s">
        <v>216</v>
      </c>
      <c r="E50" s="206"/>
      <c r="F50" s="206"/>
      <c r="G50" s="200" t="s">
        <v>217</v>
      </c>
      <c r="H50" s="206"/>
      <c r="I50" s="206"/>
      <c r="J50" s="200" t="s">
        <v>218</v>
      </c>
      <c r="K50" s="206"/>
      <c r="L50" s="206"/>
      <c r="M50" s="200" t="s">
        <v>231</v>
      </c>
      <c r="N50" s="206"/>
      <c r="O50" s="206"/>
      <c r="P50" s="200" t="s">
        <v>232</v>
      </c>
      <c r="Q50" s="206"/>
      <c r="R50" s="206"/>
      <c r="S50" s="200" t="s">
        <v>233</v>
      </c>
      <c r="T50" s="206"/>
      <c r="U50" s="206"/>
      <c r="V50" s="209" t="s">
        <v>215</v>
      </c>
      <c r="W50" s="26"/>
      <c r="X50" s="26"/>
      <c r="Y50" s="26"/>
      <c r="Z50" s="74"/>
      <c r="AA50" s="59"/>
    </row>
    <row r="51" spans="1:33" x14ac:dyDescent="0.25">
      <c r="A51" s="39" t="s">
        <v>12</v>
      </c>
      <c r="B51" s="163">
        <v>0</v>
      </c>
      <c r="C51" s="39" t="s">
        <v>32</v>
      </c>
      <c r="D51" s="184">
        <v>0</v>
      </c>
      <c r="E51" s="26"/>
      <c r="F51" s="26"/>
      <c r="G51" s="184">
        <v>10</v>
      </c>
      <c r="H51" s="26"/>
      <c r="I51" s="26"/>
      <c r="J51" s="184">
        <v>4</v>
      </c>
      <c r="K51" s="26"/>
      <c r="L51" s="26"/>
      <c r="M51" s="184">
        <v>8</v>
      </c>
      <c r="N51" s="26"/>
      <c r="O51" s="26"/>
      <c r="P51" s="184">
        <v>0</v>
      </c>
      <c r="Q51" s="26"/>
      <c r="R51" s="26"/>
      <c r="S51" s="184">
        <v>0</v>
      </c>
      <c r="T51" s="26"/>
      <c r="U51" s="26"/>
      <c r="V51" s="181">
        <f t="shared" ref="V51:V56" si="5">D51+G51+J51+M51+P51+S51</f>
        <v>22</v>
      </c>
      <c r="W51" s="26"/>
      <c r="X51" s="26"/>
      <c r="Y51" s="26"/>
      <c r="Z51" s="74"/>
      <c r="AA51" s="59"/>
      <c r="AC51" s="26"/>
    </row>
    <row r="52" spans="1:33" x14ac:dyDescent="0.25">
      <c r="A52" s="39" t="s">
        <v>184</v>
      </c>
      <c r="B52" s="163">
        <v>0</v>
      </c>
      <c r="C52" s="39" t="s">
        <v>173</v>
      </c>
      <c r="D52" s="184">
        <v>0</v>
      </c>
      <c r="E52" s="26"/>
      <c r="G52" s="184">
        <v>6</v>
      </c>
      <c r="H52" s="26"/>
      <c r="J52" s="184">
        <v>12</v>
      </c>
      <c r="K52" s="26"/>
      <c r="M52" s="184">
        <v>13</v>
      </c>
      <c r="N52" s="26"/>
      <c r="P52" s="184">
        <v>0</v>
      </c>
      <c r="Q52" s="26"/>
      <c r="S52" s="184">
        <v>0</v>
      </c>
      <c r="T52" s="26"/>
      <c r="V52" s="181">
        <f t="shared" si="5"/>
        <v>31</v>
      </c>
      <c r="W52" s="26"/>
      <c r="Y52" s="26"/>
      <c r="Z52" s="74"/>
      <c r="AA52" s="59"/>
      <c r="AD52" s="6"/>
      <c r="AF52" s="8"/>
    </row>
    <row r="53" spans="1:33" x14ac:dyDescent="0.25">
      <c r="A53" s="39" t="s">
        <v>49</v>
      </c>
      <c r="B53" s="163">
        <v>0</v>
      </c>
      <c r="C53" s="39" t="s">
        <v>173</v>
      </c>
      <c r="D53" s="184">
        <v>0</v>
      </c>
      <c r="E53" s="26"/>
      <c r="G53" s="184">
        <v>37</v>
      </c>
      <c r="H53" s="26"/>
      <c r="J53" s="184">
        <v>55</v>
      </c>
      <c r="K53" s="26"/>
      <c r="M53" s="184">
        <v>31</v>
      </c>
      <c r="N53" s="26"/>
      <c r="P53" s="184">
        <v>0</v>
      </c>
      <c r="Q53" s="26"/>
      <c r="S53" s="184">
        <v>0</v>
      </c>
      <c r="T53" s="26"/>
      <c r="V53" s="181">
        <f t="shared" si="5"/>
        <v>123</v>
      </c>
      <c r="W53" s="26"/>
      <c r="Y53" s="26"/>
      <c r="Z53" s="74"/>
      <c r="AA53" s="59"/>
      <c r="AD53" s="6"/>
      <c r="AF53" s="8"/>
    </row>
    <row r="54" spans="1:33" x14ac:dyDescent="0.25">
      <c r="A54" s="39" t="s">
        <v>15</v>
      </c>
      <c r="B54" s="163">
        <v>0</v>
      </c>
      <c r="C54" s="39" t="s">
        <v>186</v>
      </c>
      <c r="D54" s="184">
        <v>0</v>
      </c>
      <c r="E54" s="26"/>
      <c r="G54" s="184">
        <v>39</v>
      </c>
      <c r="H54" s="26"/>
      <c r="J54" s="184">
        <v>4</v>
      </c>
      <c r="K54" s="26"/>
      <c r="M54" s="184">
        <v>6</v>
      </c>
      <c r="N54" s="26"/>
      <c r="P54" s="184">
        <v>0</v>
      </c>
      <c r="Q54" s="26"/>
      <c r="S54" s="184">
        <v>0</v>
      </c>
      <c r="T54" s="26"/>
      <c r="V54" s="181">
        <f t="shared" si="5"/>
        <v>49</v>
      </c>
      <c r="W54" s="26"/>
      <c r="Y54" s="26"/>
      <c r="Z54" s="26"/>
      <c r="AA54" s="59"/>
    </row>
    <row r="55" spans="1:33" x14ac:dyDescent="0.25">
      <c r="A55" s="39" t="s">
        <v>48</v>
      </c>
      <c r="B55" s="163">
        <v>0</v>
      </c>
      <c r="C55" s="39" t="s">
        <v>82</v>
      </c>
      <c r="D55" s="163">
        <v>0</v>
      </c>
      <c r="G55" s="163">
        <v>0</v>
      </c>
      <c r="J55" s="163">
        <v>0</v>
      </c>
      <c r="M55" s="163">
        <v>0</v>
      </c>
      <c r="P55" s="163">
        <v>0</v>
      </c>
      <c r="S55" s="163">
        <v>0</v>
      </c>
      <c r="V55" s="181">
        <f t="shared" si="5"/>
        <v>0</v>
      </c>
      <c r="Y55" s="26"/>
      <c r="Z55" s="26"/>
      <c r="AA55" s="58"/>
      <c r="AF55" s="8"/>
    </row>
    <row r="56" spans="1:33" x14ac:dyDescent="0.25">
      <c r="A56" s="39" t="s">
        <v>50</v>
      </c>
      <c r="B56" s="163">
        <v>0</v>
      </c>
      <c r="C56" s="39" t="s">
        <v>82</v>
      </c>
      <c r="D56" s="184">
        <v>0</v>
      </c>
      <c r="E56" s="92" t="s">
        <v>84</v>
      </c>
      <c r="F56" s="92" t="s">
        <v>85</v>
      </c>
      <c r="G56" s="184">
        <v>0</v>
      </c>
      <c r="H56" s="92" t="s">
        <v>84</v>
      </c>
      <c r="I56" s="92" t="s">
        <v>85</v>
      </c>
      <c r="J56" s="184">
        <v>16</v>
      </c>
      <c r="K56" s="92" t="s">
        <v>84</v>
      </c>
      <c r="L56" s="92" t="s">
        <v>85</v>
      </c>
      <c r="M56" s="184">
        <v>0</v>
      </c>
      <c r="N56" s="92" t="s">
        <v>84</v>
      </c>
      <c r="O56" s="92" t="s">
        <v>85</v>
      </c>
      <c r="P56" s="184">
        <v>0</v>
      </c>
      <c r="Q56" s="92" t="s">
        <v>84</v>
      </c>
      <c r="R56" s="92" t="s">
        <v>85</v>
      </c>
      <c r="S56" s="184">
        <v>0</v>
      </c>
      <c r="T56" s="92" t="s">
        <v>84</v>
      </c>
      <c r="U56" s="92" t="s">
        <v>85</v>
      </c>
      <c r="V56" s="181">
        <f t="shared" si="5"/>
        <v>16</v>
      </c>
      <c r="W56" s="208" t="s">
        <v>84</v>
      </c>
      <c r="X56" s="208" t="s">
        <v>85</v>
      </c>
      <c r="Y56" s="26"/>
      <c r="Z56" s="26"/>
      <c r="AA56" s="59"/>
    </row>
    <row r="57" spans="1:33" x14ac:dyDescent="0.25">
      <c r="A57" s="89" t="s">
        <v>53</v>
      </c>
      <c r="B57" s="159">
        <f>SUM(B51:B56)</f>
        <v>0</v>
      </c>
      <c r="C57" s="160"/>
      <c r="D57" s="159">
        <f>SUM(D51:D56)</f>
        <v>0</v>
      </c>
      <c r="E57" s="157">
        <f>D52+D53+D54+D55+D56</f>
        <v>0</v>
      </c>
      <c r="F57" s="157">
        <f>D57-E57</f>
        <v>0</v>
      </c>
      <c r="G57" s="159">
        <f>SUM(G51:G56)</f>
        <v>92</v>
      </c>
      <c r="H57" s="157">
        <f>G52+G53+G54+G55+G56</f>
        <v>82</v>
      </c>
      <c r="I57" s="157">
        <f>G57-H57</f>
        <v>10</v>
      </c>
      <c r="J57" s="159">
        <f>SUM(J51:J56)</f>
        <v>91</v>
      </c>
      <c r="K57" s="157">
        <f>J52+J53+J54+J55+J56</f>
        <v>87</v>
      </c>
      <c r="L57" s="157">
        <f>J57-K57</f>
        <v>4</v>
      </c>
      <c r="M57" s="159">
        <f>SUM(M51:M56)</f>
        <v>58</v>
      </c>
      <c r="N57" s="157">
        <f>M52+M53+M54+M55+M56</f>
        <v>50</v>
      </c>
      <c r="O57" s="157">
        <f>M57-N57</f>
        <v>8</v>
      </c>
      <c r="P57" s="159">
        <f>SUM(P51:P56)</f>
        <v>0</v>
      </c>
      <c r="Q57" s="157">
        <f>P52+P53+P54+P55+P56</f>
        <v>0</v>
      </c>
      <c r="R57" s="157">
        <f>P57-Q57</f>
        <v>0</v>
      </c>
      <c r="S57" s="159">
        <f>SUM(S51:S56)</f>
        <v>0</v>
      </c>
      <c r="T57" s="157">
        <f>S52+S53+S54+S55+S56</f>
        <v>0</v>
      </c>
      <c r="U57" s="157">
        <f>S57-T57</f>
        <v>0</v>
      </c>
      <c r="V57" s="159">
        <f>SUM(V51:V56)</f>
        <v>241</v>
      </c>
      <c r="W57" s="157">
        <f>V52+V53+V54+V55+V56</f>
        <v>219</v>
      </c>
      <c r="X57" s="157">
        <f>V57-W57</f>
        <v>22</v>
      </c>
      <c r="Y57" s="26"/>
      <c r="Z57" s="26"/>
      <c r="AA57" s="59"/>
      <c r="AD57" s="6"/>
      <c r="AF57" s="8"/>
    </row>
    <row r="58" spans="1:33" x14ac:dyDescent="0.25">
      <c r="A58" s="39"/>
      <c r="B58" s="40"/>
      <c r="C58" s="39"/>
      <c r="E58" s="26"/>
      <c r="H58" s="26"/>
      <c r="K58" s="26"/>
      <c r="N58" s="26"/>
      <c r="Q58" s="26"/>
      <c r="T58" s="26"/>
      <c r="V58" s="26"/>
      <c r="W58" s="26"/>
      <c r="Y58" s="26"/>
      <c r="Z58" s="26"/>
      <c r="AA58" s="59"/>
      <c r="AD58" s="6"/>
      <c r="AF58" s="8"/>
    </row>
    <row r="59" spans="1:33" ht="15.75" thickBot="1" x14ac:dyDescent="0.3">
      <c r="A59" s="203"/>
      <c r="B59" s="204"/>
      <c r="C59" s="203"/>
      <c r="E59" s="26"/>
      <c r="H59" s="26"/>
      <c r="K59" s="26"/>
      <c r="N59" s="26"/>
      <c r="Q59" s="26"/>
      <c r="T59" s="26"/>
      <c r="V59" s="26"/>
      <c r="W59" s="26"/>
      <c r="Y59" s="26"/>
      <c r="Z59" s="26"/>
      <c r="AA59" s="87"/>
      <c r="AD59" s="6"/>
      <c r="AF59" s="8"/>
    </row>
    <row r="60" spans="1:33" ht="45.75" thickBot="1" x14ac:dyDescent="0.3">
      <c r="A60" s="205" t="s">
        <v>4</v>
      </c>
      <c r="B60" s="199" t="s">
        <v>214</v>
      </c>
      <c r="C60" s="206"/>
      <c r="D60" s="200" t="s">
        <v>216</v>
      </c>
      <c r="E60" s="206"/>
      <c r="F60" s="206"/>
      <c r="G60" s="200" t="s">
        <v>217</v>
      </c>
      <c r="H60" s="206"/>
      <c r="I60" s="206"/>
      <c r="J60" s="200" t="s">
        <v>218</v>
      </c>
      <c r="K60" s="206"/>
      <c r="L60" s="206"/>
      <c r="M60" s="200" t="s">
        <v>231</v>
      </c>
      <c r="N60" s="206"/>
      <c r="O60" s="206"/>
      <c r="P60" s="200" t="s">
        <v>232</v>
      </c>
      <c r="Q60" s="206"/>
      <c r="R60" s="206"/>
      <c r="S60" s="200" t="s">
        <v>233</v>
      </c>
      <c r="T60" s="206"/>
      <c r="U60" s="206"/>
      <c r="V60" s="209" t="s">
        <v>215</v>
      </c>
      <c r="W60" s="26"/>
      <c r="Y60" s="74"/>
      <c r="Z60" s="26"/>
      <c r="AA60" s="87"/>
      <c r="AD60" s="6"/>
      <c r="AF60" s="8"/>
    </row>
    <row r="61" spans="1:33" x14ac:dyDescent="0.25">
      <c r="A61" s="179" t="s">
        <v>48</v>
      </c>
      <c r="B61" s="163">
        <v>0</v>
      </c>
      <c r="C61" s="179" t="s">
        <v>37</v>
      </c>
      <c r="D61" s="184">
        <v>0</v>
      </c>
      <c r="E61" s="26"/>
      <c r="G61" s="184">
        <v>0</v>
      </c>
      <c r="H61" s="26"/>
      <c r="J61" s="184">
        <v>0</v>
      </c>
      <c r="K61" s="26"/>
      <c r="M61" s="184">
        <v>0</v>
      </c>
      <c r="N61" s="26"/>
      <c r="P61" s="184">
        <v>0</v>
      </c>
      <c r="Q61" s="26"/>
      <c r="S61" s="184">
        <v>0</v>
      </c>
      <c r="T61" s="26"/>
      <c r="V61" s="181">
        <f t="shared" ref="V61:V74" si="6">D61+G61+J61+M61+P61+S61</f>
        <v>0</v>
      </c>
      <c r="W61" s="26"/>
      <c r="Y61" s="26"/>
      <c r="Z61" s="26"/>
      <c r="AA61" s="87"/>
      <c r="AC61" s="26"/>
      <c r="AD61" s="6"/>
      <c r="AF61" s="8"/>
    </row>
    <row r="62" spans="1:33" x14ac:dyDescent="0.25">
      <c r="A62" s="39" t="s">
        <v>50</v>
      </c>
      <c r="B62" s="163">
        <v>0</v>
      </c>
      <c r="C62" s="39" t="s">
        <v>61</v>
      </c>
      <c r="D62" s="184">
        <v>0</v>
      </c>
      <c r="E62" s="26"/>
      <c r="G62" s="184">
        <v>0</v>
      </c>
      <c r="H62" s="26"/>
      <c r="J62" s="184">
        <v>0</v>
      </c>
      <c r="K62" s="26"/>
      <c r="M62" s="184">
        <v>0</v>
      </c>
      <c r="N62" s="26"/>
      <c r="P62" s="184">
        <v>0</v>
      </c>
      <c r="Q62" s="26"/>
      <c r="S62" s="184">
        <v>0</v>
      </c>
      <c r="T62" s="26"/>
      <c r="V62" s="181">
        <f t="shared" si="6"/>
        <v>0</v>
      </c>
      <c r="W62" s="26"/>
      <c r="Y62" s="26"/>
      <c r="Z62" s="26"/>
      <c r="AA62" s="87"/>
      <c r="AC62" s="26"/>
      <c r="AF62" s="8"/>
      <c r="AG62" s="6"/>
    </row>
    <row r="63" spans="1:33" x14ac:dyDescent="0.25">
      <c r="A63" s="39" t="s">
        <v>15</v>
      </c>
      <c r="B63" s="163">
        <v>0</v>
      </c>
      <c r="C63" s="39" t="s">
        <v>182</v>
      </c>
      <c r="D63" s="184">
        <v>0</v>
      </c>
      <c r="E63" s="26"/>
      <c r="G63" s="184">
        <v>8</v>
      </c>
      <c r="H63" s="26"/>
      <c r="J63" s="184">
        <v>75</v>
      </c>
      <c r="K63" s="26"/>
      <c r="M63" s="184">
        <v>62</v>
      </c>
      <c r="N63" s="26"/>
      <c r="P63" s="184">
        <v>74</v>
      </c>
      <c r="Q63" s="26"/>
      <c r="S63" s="184">
        <v>0</v>
      </c>
      <c r="T63" s="26"/>
      <c r="V63" s="181">
        <f t="shared" si="6"/>
        <v>219</v>
      </c>
      <c r="W63" s="26"/>
      <c r="Y63" s="26"/>
      <c r="Z63" s="26"/>
      <c r="AA63" s="168"/>
      <c r="AC63" s="26"/>
      <c r="AD63" s="44"/>
    </row>
    <row r="64" spans="1:33" x14ac:dyDescent="0.25">
      <c r="A64" s="39" t="s">
        <v>48</v>
      </c>
      <c r="B64" s="163">
        <v>0</v>
      </c>
      <c r="C64" s="39" t="s">
        <v>182</v>
      </c>
      <c r="D64" s="184">
        <v>0</v>
      </c>
      <c r="E64" s="26"/>
      <c r="G64" s="184">
        <v>0</v>
      </c>
      <c r="H64" s="26"/>
      <c r="J64" s="184">
        <v>9</v>
      </c>
      <c r="K64" s="26"/>
      <c r="M64" s="184">
        <v>5</v>
      </c>
      <c r="N64" s="26"/>
      <c r="P64" s="184">
        <v>2</v>
      </c>
      <c r="Q64" s="26"/>
      <c r="S64" s="184">
        <v>0</v>
      </c>
      <c r="T64" s="26"/>
      <c r="V64" s="181">
        <f t="shared" si="6"/>
        <v>16</v>
      </c>
      <c r="W64" s="26"/>
      <c r="Y64" s="26"/>
      <c r="Z64" s="26"/>
      <c r="AA64" s="87"/>
    </row>
    <row r="65" spans="1:33" x14ac:dyDescent="0.25">
      <c r="A65" s="39" t="s">
        <v>50</v>
      </c>
      <c r="B65" s="163">
        <v>0</v>
      </c>
      <c r="C65" s="39" t="s">
        <v>201</v>
      </c>
      <c r="D65" s="184">
        <v>0</v>
      </c>
      <c r="E65" s="26"/>
      <c r="G65" s="184">
        <v>0</v>
      </c>
      <c r="H65" s="26"/>
      <c r="J65" s="184">
        <v>342</v>
      </c>
      <c r="K65" s="26"/>
      <c r="M65" s="184">
        <v>489</v>
      </c>
      <c r="N65" s="26"/>
      <c r="P65" s="184">
        <v>126</v>
      </c>
      <c r="Q65" s="26"/>
      <c r="S65" s="184">
        <v>0</v>
      </c>
      <c r="T65" s="26"/>
      <c r="V65" s="181">
        <f t="shared" si="6"/>
        <v>957</v>
      </c>
      <c r="W65" s="26"/>
      <c r="Y65" s="26"/>
      <c r="Z65" s="26"/>
      <c r="AA65" s="87"/>
    </row>
    <row r="66" spans="1:33" x14ac:dyDescent="0.25">
      <c r="A66" s="39" t="s">
        <v>49</v>
      </c>
      <c r="B66" s="163">
        <v>0</v>
      </c>
      <c r="C66" s="39" t="s">
        <v>183</v>
      </c>
      <c r="D66" s="184">
        <v>0</v>
      </c>
      <c r="E66" s="26"/>
      <c r="G66" s="184">
        <v>11</v>
      </c>
      <c r="H66" s="26"/>
      <c r="J66" s="184">
        <v>78</v>
      </c>
      <c r="K66" s="26"/>
      <c r="M66" s="184">
        <v>96</v>
      </c>
      <c r="N66" s="26"/>
      <c r="P66" s="184">
        <v>103</v>
      </c>
      <c r="Q66" s="26"/>
      <c r="S66" s="184">
        <v>0</v>
      </c>
      <c r="T66" s="26"/>
      <c r="V66" s="181">
        <f t="shared" si="6"/>
        <v>288</v>
      </c>
      <c r="W66" s="26"/>
      <c r="Y66" s="26"/>
      <c r="Z66" s="26"/>
      <c r="AA66" s="87"/>
    </row>
    <row r="67" spans="1:33" x14ac:dyDescent="0.25">
      <c r="A67" s="39" t="s">
        <v>235</v>
      </c>
      <c r="B67" s="163">
        <v>0</v>
      </c>
      <c r="C67" s="39" t="s">
        <v>199</v>
      </c>
      <c r="D67" s="184">
        <v>0</v>
      </c>
      <c r="E67" s="26"/>
      <c r="G67" s="184">
        <v>0</v>
      </c>
      <c r="H67" s="26"/>
      <c r="J67" s="184">
        <v>0</v>
      </c>
      <c r="K67" s="26"/>
      <c r="M67" s="184">
        <v>167</v>
      </c>
      <c r="N67" s="26"/>
      <c r="P67" s="184">
        <v>119</v>
      </c>
      <c r="Q67" s="26"/>
      <c r="S67" s="184">
        <v>0</v>
      </c>
      <c r="T67" s="26"/>
      <c r="V67" s="181">
        <f t="shared" si="6"/>
        <v>286</v>
      </c>
      <c r="W67" s="26"/>
      <c r="Y67" s="167"/>
      <c r="AA67" s="87"/>
    </row>
    <row r="68" spans="1:33" x14ac:dyDescent="0.25">
      <c r="A68" s="39" t="s">
        <v>49</v>
      </c>
      <c r="B68" s="163">
        <v>0</v>
      </c>
      <c r="C68" s="39" t="s">
        <v>200</v>
      </c>
      <c r="D68" s="184">
        <v>0</v>
      </c>
      <c r="E68" s="26"/>
      <c r="G68" s="184">
        <v>0</v>
      </c>
      <c r="H68" s="26"/>
      <c r="J68" s="184">
        <v>0</v>
      </c>
      <c r="K68" s="26"/>
      <c r="M68" s="184">
        <v>0</v>
      </c>
      <c r="N68" s="26"/>
      <c r="P68" s="184">
        <v>0</v>
      </c>
      <c r="Q68" s="26"/>
      <c r="S68" s="184">
        <v>0</v>
      </c>
      <c r="T68" s="26"/>
      <c r="V68" s="181">
        <f t="shared" si="6"/>
        <v>0</v>
      </c>
      <c r="W68" s="26"/>
      <c r="Y68" s="167"/>
      <c r="AA68" s="87"/>
    </row>
    <row r="69" spans="1:33" x14ac:dyDescent="0.25">
      <c r="A69" s="39" t="s">
        <v>49</v>
      </c>
      <c r="B69" s="163">
        <v>0</v>
      </c>
      <c r="C69" s="39" t="s">
        <v>37</v>
      </c>
      <c r="D69" s="184">
        <v>0</v>
      </c>
      <c r="E69" s="26"/>
      <c r="G69" s="184">
        <v>0</v>
      </c>
      <c r="H69" s="26"/>
      <c r="J69" s="184">
        <v>22</v>
      </c>
      <c r="K69" s="26"/>
      <c r="M69" s="184">
        <v>0</v>
      </c>
      <c r="N69" s="26"/>
      <c r="P69" s="184">
        <v>0</v>
      </c>
      <c r="Q69" s="26"/>
      <c r="S69" s="184">
        <v>0</v>
      </c>
      <c r="T69" s="26"/>
      <c r="V69" s="181">
        <f t="shared" si="6"/>
        <v>22</v>
      </c>
      <c r="W69" s="26"/>
      <c r="Y69" s="167"/>
      <c r="AA69" s="87"/>
    </row>
    <row r="70" spans="1:33" x14ac:dyDescent="0.25">
      <c r="A70" s="39" t="s">
        <v>184</v>
      </c>
      <c r="B70" s="163">
        <v>0</v>
      </c>
      <c r="C70" s="39" t="s">
        <v>183</v>
      </c>
      <c r="D70" s="184">
        <v>0</v>
      </c>
      <c r="E70" s="26"/>
      <c r="G70" s="184">
        <v>0</v>
      </c>
      <c r="H70" s="26"/>
      <c r="J70" s="184">
        <v>54</v>
      </c>
      <c r="K70" s="26"/>
      <c r="M70" s="184">
        <v>218</v>
      </c>
      <c r="N70" s="26"/>
      <c r="P70" s="184">
        <v>143</v>
      </c>
      <c r="Q70" s="26"/>
      <c r="S70" s="184">
        <v>0</v>
      </c>
      <c r="T70" s="26"/>
      <c r="V70" s="181">
        <f t="shared" si="6"/>
        <v>415</v>
      </c>
      <c r="W70" s="26"/>
      <c r="Y70" s="74"/>
      <c r="Z70" s="26"/>
      <c r="AA70" s="87"/>
    </row>
    <row r="71" spans="1:33" x14ac:dyDescent="0.25">
      <c r="A71" s="39" t="s">
        <v>243</v>
      </c>
      <c r="B71" s="163">
        <v>0</v>
      </c>
      <c r="C71" s="39" t="s">
        <v>183</v>
      </c>
      <c r="D71" s="184">
        <v>0</v>
      </c>
      <c r="E71" s="26"/>
      <c r="G71" s="184">
        <v>0</v>
      </c>
      <c r="H71" s="26"/>
      <c r="J71" s="184">
        <v>0</v>
      </c>
      <c r="K71" s="26"/>
      <c r="M71" s="184">
        <v>0</v>
      </c>
      <c r="N71" s="26"/>
      <c r="P71" s="184">
        <v>81</v>
      </c>
      <c r="Q71" s="26"/>
      <c r="S71" s="184">
        <v>0</v>
      </c>
      <c r="T71" s="26"/>
      <c r="V71" s="181">
        <f t="shared" si="6"/>
        <v>81</v>
      </c>
      <c r="W71" s="26"/>
      <c r="Y71" s="74"/>
      <c r="Z71" s="26"/>
      <c r="AA71" s="87"/>
    </row>
    <row r="72" spans="1:33" x14ac:dyDescent="0.25">
      <c r="A72" s="39" t="s">
        <v>184</v>
      </c>
      <c r="B72" s="163">
        <v>0</v>
      </c>
      <c r="C72" s="39" t="s">
        <v>37</v>
      </c>
      <c r="D72" s="184">
        <v>0</v>
      </c>
      <c r="E72" s="26"/>
      <c r="G72" s="184">
        <v>0</v>
      </c>
      <c r="H72" s="26"/>
      <c r="J72" s="184">
        <v>2</v>
      </c>
      <c r="K72" s="26"/>
      <c r="M72" s="184">
        <v>0</v>
      </c>
      <c r="N72" s="26"/>
      <c r="P72" s="184">
        <v>0</v>
      </c>
      <c r="Q72" s="26"/>
      <c r="S72" s="184">
        <v>0</v>
      </c>
      <c r="T72" s="26"/>
      <c r="V72" s="181">
        <f t="shared" si="6"/>
        <v>2</v>
      </c>
      <c r="W72" s="26"/>
      <c r="Y72" s="74"/>
      <c r="Z72" s="26"/>
      <c r="AA72" s="87"/>
    </row>
    <row r="73" spans="1:33" x14ac:dyDescent="0.25">
      <c r="A73" s="39" t="s">
        <v>184</v>
      </c>
      <c r="B73" s="163">
        <v>0</v>
      </c>
      <c r="C73" s="39" t="s">
        <v>185</v>
      </c>
      <c r="D73" s="184">
        <v>0</v>
      </c>
      <c r="E73" s="26"/>
      <c r="G73" s="184">
        <v>0</v>
      </c>
      <c r="H73" s="26"/>
      <c r="J73" s="184">
        <v>0</v>
      </c>
      <c r="K73" s="26"/>
      <c r="M73" s="184">
        <v>0</v>
      </c>
      <c r="N73" s="26"/>
      <c r="P73" s="184">
        <v>0</v>
      </c>
      <c r="Q73" s="26"/>
      <c r="S73" s="184">
        <v>0</v>
      </c>
      <c r="T73" s="26"/>
      <c r="V73" s="181">
        <f t="shared" si="6"/>
        <v>0</v>
      </c>
      <c r="W73" s="26"/>
      <c r="Y73" s="74"/>
      <c r="Z73" s="26"/>
      <c r="AA73" s="87"/>
    </row>
    <row r="74" spans="1:33" x14ac:dyDescent="0.25">
      <c r="A74" s="39" t="s">
        <v>184</v>
      </c>
      <c r="B74" s="163">
        <v>0</v>
      </c>
      <c r="C74" s="39" t="s">
        <v>56</v>
      </c>
      <c r="D74" s="184">
        <v>0</v>
      </c>
      <c r="E74" s="92" t="s">
        <v>84</v>
      </c>
      <c r="F74" s="92" t="s">
        <v>85</v>
      </c>
      <c r="G74" s="184">
        <v>0</v>
      </c>
      <c r="H74" s="92" t="s">
        <v>84</v>
      </c>
      <c r="I74" s="92" t="s">
        <v>85</v>
      </c>
      <c r="J74" s="184">
        <v>0</v>
      </c>
      <c r="K74" s="92" t="s">
        <v>84</v>
      </c>
      <c r="L74" s="92" t="s">
        <v>85</v>
      </c>
      <c r="M74" s="184">
        <v>0</v>
      </c>
      <c r="N74" s="92" t="s">
        <v>84</v>
      </c>
      <c r="O74" s="92" t="s">
        <v>85</v>
      </c>
      <c r="P74" s="184">
        <v>0</v>
      </c>
      <c r="Q74" s="92" t="s">
        <v>84</v>
      </c>
      <c r="R74" s="92" t="s">
        <v>85</v>
      </c>
      <c r="S74" s="184">
        <v>0</v>
      </c>
      <c r="T74" s="92" t="s">
        <v>84</v>
      </c>
      <c r="U74" s="92" t="s">
        <v>85</v>
      </c>
      <c r="V74" s="181">
        <f t="shared" si="6"/>
        <v>0</v>
      </c>
      <c r="W74" s="208" t="s">
        <v>84</v>
      </c>
      <c r="X74" s="208" t="s">
        <v>85</v>
      </c>
      <c r="AA74" s="168"/>
      <c r="AF74" s="8"/>
      <c r="AG74" s="6"/>
    </row>
    <row r="75" spans="1:33" x14ac:dyDescent="0.25">
      <c r="A75" s="89" t="s">
        <v>53</v>
      </c>
      <c r="B75" s="159">
        <f>SUM(B61:B74)</f>
        <v>0</v>
      </c>
      <c r="C75" s="160"/>
      <c r="D75" s="159">
        <f>SUM(D61:D74)</f>
        <v>0</v>
      </c>
      <c r="E75" s="157">
        <f>SUM(D61:D74)</f>
        <v>0</v>
      </c>
      <c r="F75" s="157">
        <f>D75-E75</f>
        <v>0</v>
      </c>
      <c r="G75" s="159">
        <f>SUM(G61:G74)</f>
        <v>19</v>
      </c>
      <c r="H75" s="157">
        <f>SUM(G61:G74)</f>
        <v>19</v>
      </c>
      <c r="I75" s="157">
        <f>G75-H75</f>
        <v>0</v>
      </c>
      <c r="J75" s="159">
        <f>SUM(J61:J74)</f>
        <v>582</v>
      </c>
      <c r="K75" s="157">
        <f>SUM(J61:J74)</f>
        <v>582</v>
      </c>
      <c r="L75" s="157">
        <f>J75-K75</f>
        <v>0</v>
      </c>
      <c r="M75" s="159">
        <f>SUM(M61:M74)</f>
        <v>1037</v>
      </c>
      <c r="N75" s="157">
        <f>SUM(M61:M74)</f>
        <v>1037</v>
      </c>
      <c r="O75" s="157">
        <f>M75-N75</f>
        <v>0</v>
      </c>
      <c r="P75" s="159">
        <f>SUM(P61:P74)</f>
        <v>648</v>
      </c>
      <c r="Q75" s="157">
        <f>SUM(P61:P74)</f>
        <v>648</v>
      </c>
      <c r="R75" s="157">
        <f>P75-Q75</f>
        <v>0</v>
      </c>
      <c r="S75" s="159">
        <f>SUM(S61:S74)</f>
        <v>0</v>
      </c>
      <c r="T75" s="157">
        <f>SUM(S61:S74)</f>
        <v>0</v>
      </c>
      <c r="U75" s="157">
        <f>S75-T75</f>
        <v>0</v>
      </c>
      <c r="V75" s="159">
        <f>SUM(V61:V74)</f>
        <v>2286</v>
      </c>
      <c r="W75" s="157">
        <f>SUM(V61:V74)</f>
        <v>2286</v>
      </c>
      <c r="X75" s="157">
        <f>V75-W75</f>
        <v>0</v>
      </c>
      <c r="AA75" s="87"/>
      <c r="AD75" s="6"/>
      <c r="AF75" s="8"/>
    </row>
    <row r="76" spans="1:33" x14ac:dyDescent="0.25">
      <c r="A76" s="75"/>
      <c r="B76" s="58"/>
      <c r="C76" s="75"/>
      <c r="E76" s="26"/>
      <c r="H76" s="26"/>
      <c r="K76" s="26"/>
      <c r="N76" s="26"/>
      <c r="Q76" s="26"/>
      <c r="T76" s="26"/>
      <c r="V76" s="26"/>
      <c r="W76" s="26"/>
      <c r="AA76" s="87"/>
      <c r="AD76" s="6"/>
      <c r="AF76" s="8"/>
    </row>
    <row r="77" spans="1:33" ht="15.75" thickBot="1" x14ac:dyDescent="0.3">
      <c r="A77" s="75"/>
      <c r="B77" s="58"/>
      <c r="C77" s="75"/>
      <c r="E77" s="26"/>
      <c r="F77" s="26"/>
      <c r="H77" s="26"/>
      <c r="I77" s="26"/>
      <c r="K77" s="26"/>
      <c r="L77" s="26"/>
      <c r="N77" s="26"/>
      <c r="O77" s="26"/>
      <c r="Q77" s="26"/>
      <c r="R77" s="26"/>
      <c r="T77" s="26"/>
      <c r="U77" s="26"/>
      <c r="V77" s="26"/>
      <c r="W77" s="26"/>
      <c r="X77" s="26"/>
      <c r="AA77" s="26"/>
      <c r="AD77" s="6"/>
      <c r="AF77" s="8"/>
    </row>
    <row r="78" spans="1:33" ht="45.75" thickBot="1" x14ac:dyDescent="0.3">
      <c r="A78" s="198" t="s">
        <v>27</v>
      </c>
      <c r="B78" s="199" t="s">
        <v>214</v>
      </c>
      <c r="C78" s="198" t="s">
        <v>35</v>
      </c>
      <c r="D78" s="200" t="s">
        <v>216</v>
      </c>
      <c r="E78" s="206"/>
      <c r="F78" s="206"/>
      <c r="G78" s="200" t="s">
        <v>217</v>
      </c>
      <c r="H78" s="206"/>
      <c r="I78" s="206"/>
      <c r="J78" s="200" t="s">
        <v>218</v>
      </c>
      <c r="K78" s="206"/>
      <c r="L78" s="206"/>
      <c r="M78" s="200" t="s">
        <v>231</v>
      </c>
      <c r="N78" s="206"/>
      <c r="O78" s="206"/>
      <c r="P78" s="200" t="s">
        <v>232</v>
      </c>
      <c r="Q78" s="206"/>
      <c r="R78" s="206"/>
      <c r="S78" s="200" t="s">
        <v>233</v>
      </c>
      <c r="T78" s="206"/>
      <c r="U78" s="206"/>
      <c r="V78" s="209" t="s">
        <v>215</v>
      </c>
      <c r="W78" s="26"/>
      <c r="X78" s="26"/>
      <c r="Z78" s="26"/>
      <c r="AA78" s="26"/>
      <c r="AF78" s="8"/>
    </row>
    <row r="79" spans="1:33" x14ac:dyDescent="0.25">
      <c r="A79" s="39" t="s">
        <v>177</v>
      </c>
      <c r="B79" s="163">
        <v>0</v>
      </c>
      <c r="C79" t="s">
        <v>164</v>
      </c>
      <c r="D79" s="184">
        <v>0</v>
      </c>
      <c r="E79" s="26"/>
      <c r="F79" s="74"/>
      <c r="G79" s="184">
        <v>1</v>
      </c>
      <c r="H79" s="26"/>
      <c r="I79" s="74"/>
      <c r="J79" s="184">
        <v>0</v>
      </c>
      <c r="K79" s="26"/>
      <c r="L79" s="74"/>
      <c r="M79" s="184">
        <v>0</v>
      </c>
      <c r="N79" s="26"/>
      <c r="O79" s="74"/>
      <c r="P79" s="184">
        <v>0</v>
      </c>
      <c r="Q79" s="26"/>
      <c r="R79" s="74"/>
      <c r="S79" s="184">
        <v>0</v>
      </c>
      <c r="T79" s="26"/>
      <c r="U79" s="74"/>
      <c r="V79" s="181">
        <f t="shared" ref="V79:V88" si="7">D79+G79+J79+M79+P79+S79</f>
        <v>1</v>
      </c>
      <c r="W79" s="26"/>
      <c r="X79" s="74"/>
      <c r="Z79" s="26"/>
      <c r="AA79" s="26"/>
      <c r="AF79" s="8"/>
    </row>
    <row r="80" spans="1:33" x14ac:dyDescent="0.25">
      <c r="A80" s="39" t="s">
        <v>177</v>
      </c>
      <c r="B80" s="163">
        <v>0</v>
      </c>
      <c r="C80" s="41" t="s">
        <v>145</v>
      </c>
      <c r="D80" s="184">
        <v>0</v>
      </c>
      <c r="E80" s="26"/>
      <c r="F80" s="74"/>
      <c r="G80" s="184">
        <v>0</v>
      </c>
      <c r="H80" s="26"/>
      <c r="I80" s="74"/>
      <c r="J80" s="184">
        <v>0</v>
      </c>
      <c r="K80" s="26"/>
      <c r="L80" s="74"/>
      <c r="M80" s="184">
        <v>0</v>
      </c>
      <c r="N80" s="26"/>
      <c r="O80" s="74"/>
      <c r="P80" s="184">
        <v>0</v>
      </c>
      <c r="Q80" s="26"/>
      <c r="R80" s="74"/>
      <c r="S80" s="184">
        <v>0</v>
      </c>
      <c r="T80" s="26"/>
      <c r="U80" s="74"/>
      <c r="V80" s="181">
        <f t="shared" si="7"/>
        <v>0</v>
      </c>
      <c r="W80" s="26"/>
      <c r="X80" s="74"/>
      <c r="Z80" s="26"/>
      <c r="AA80" s="26"/>
      <c r="AF80" s="8"/>
    </row>
    <row r="81" spans="1:32" x14ac:dyDescent="0.25">
      <c r="A81" s="39" t="s">
        <v>177</v>
      </c>
      <c r="B81" s="163">
        <v>0</v>
      </c>
      <c r="C81" s="41" t="s">
        <v>147</v>
      </c>
      <c r="D81" s="184">
        <v>0</v>
      </c>
      <c r="E81" s="26"/>
      <c r="F81" s="74"/>
      <c r="G81" s="184">
        <v>0</v>
      </c>
      <c r="H81" s="26"/>
      <c r="I81" s="74"/>
      <c r="J81" s="184">
        <v>0</v>
      </c>
      <c r="K81" s="26"/>
      <c r="L81" s="74"/>
      <c r="M81" s="184">
        <v>0</v>
      </c>
      <c r="N81" s="26"/>
      <c r="O81" s="74"/>
      <c r="P81" s="184">
        <v>0</v>
      </c>
      <c r="Q81" s="26"/>
      <c r="R81" s="74"/>
      <c r="S81" s="184">
        <v>0</v>
      </c>
      <c r="T81" s="26"/>
      <c r="U81" s="74"/>
      <c r="V81" s="181">
        <f t="shared" si="7"/>
        <v>0</v>
      </c>
      <c r="W81" s="26"/>
      <c r="X81" s="74"/>
      <c r="Z81" s="26"/>
      <c r="AA81" s="26"/>
      <c r="AF81" s="8"/>
    </row>
    <row r="82" spans="1:32" x14ac:dyDescent="0.25">
      <c r="A82" s="39" t="s">
        <v>177</v>
      </c>
      <c r="B82" s="163">
        <v>0</v>
      </c>
      <c r="C82" s="41" t="s">
        <v>149</v>
      </c>
      <c r="D82" s="184">
        <v>0</v>
      </c>
      <c r="E82" s="26"/>
      <c r="F82" s="74"/>
      <c r="G82" s="184">
        <v>0</v>
      </c>
      <c r="H82" s="26"/>
      <c r="I82" s="74"/>
      <c r="J82" s="184">
        <v>0</v>
      </c>
      <c r="K82" s="26"/>
      <c r="L82" s="74"/>
      <c r="M82" s="184">
        <v>0</v>
      </c>
      <c r="N82" s="26"/>
      <c r="O82" s="74"/>
      <c r="P82" s="184">
        <v>0</v>
      </c>
      <c r="Q82" s="26"/>
      <c r="R82" s="74"/>
      <c r="S82" s="184">
        <v>0</v>
      </c>
      <c r="T82" s="26"/>
      <c r="U82" s="74"/>
      <c r="V82" s="181">
        <f t="shared" si="7"/>
        <v>0</v>
      </c>
      <c r="W82" s="26"/>
      <c r="X82" s="74"/>
      <c r="Z82" s="26"/>
      <c r="AA82" s="26"/>
      <c r="AF82" s="8"/>
    </row>
    <row r="83" spans="1:32" x14ac:dyDescent="0.25">
      <c r="A83" s="39" t="s">
        <v>177</v>
      </c>
      <c r="B83" s="163">
        <v>0</v>
      </c>
      <c r="C83" s="41" t="s">
        <v>155</v>
      </c>
      <c r="D83" s="184">
        <v>0</v>
      </c>
      <c r="E83" s="26"/>
      <c r="F83" s="74"/>
      <c r="G83" s="184">
        <v>0</v>
      </c>
      <c r="H83" s="26"/>
      <c r="I83" s="74"/>
      <c r="J83" s="184">
        <v>0</v>
      </c>
      <c r="K83" s="26"/>
      <c r="L83" s="74"/>
      <c r="M83" s="184">
        <v>0</v>
      </c>
      <c r="N83" s="26"/>
      <c r="O83" s="74"/>
      <c r="P83" s="184">
        <v>0</v>
      </c>
      <c r="Q83" s="26"/>
      <c r="R83" s="74"/>
      <c r="S83" s="184">
        <v>0</v>
      </c>
      <c r="T83" s="26"/>
      <c r="U83" s="74"/>
      <c r="V83" s="181">
        <f t="shared" si="7"/>
        <v>0</v>
      </c>
      <c r="W83" s="26"/>
      <c r="X83" s="74"/>
      <c r="Z83" s="26"/>
      <c r="AA83" s="26"/>
      <c r="AF83" s="8"/>
    </row>
    <row r="84" spans="1:32" x14ac:dyDescent="0.25">
      <c r="A84" s="39" t="s">
        <v>177</v>
      </c>
      <c r="B84" s="163">
        <v>0</v>
      </c>
      <c r="C84" s="41" t="s">
        <v>157</v>
      </c>
      <c r="D84" s="184">
        <v>0</v>
      </c>
      <c r="E84" s="26"/>
      <c r="F84" s="74"/>
      <c r="G84" s="184">
        <v>0</v>
      </c>
      <c r="H84" s="26"/>
      <c r="I84" s="74"/>
      <c r="J84" s="184">
        <v>0</v>
      </c>
      <c r="K84" s="26"/>
      <c r="L84" s="74"/>
      <c r="M84" s="184">
        <v>0</v>
      </c>
      <c r="N84" s="26"/>
      <c r="O84" s="74"/>
      <c r="P84" s="184">
        <v>0</v>
      </c>
      <c r="Q84" s="26"/>
      <c r="R84" s="74"/>
      <c r="S84" s="184">
        <v>0</v>
      </c>
      <c r="T84" s="26"/>
      <c r="U84" s="74"/>
      <c r="V84" s="181">
        <f t="shared" si="7"/>
        <v>0</v>
      </c>
      <c r="W84" s="26"/>
      <c r="X84" s="74"/>
      <c r="Z84" s="26"/>
      <c r="AA84" s="26"/>
      <c r="AF84" s="8"/>
    </row>
    <row r="85" spans="1:32" x14ac:dyDescent="0.25">
      <c r="A85" s="39" t="s">
        <v>177</v>
      </c>
      <c r="B85" s="163">
        <v>0</v>
      </c>
      <c r="C85" s="41" t="s">
        <v>202</v>
      </c>
      <c r="D85" s="184">
        <v>0</v>
      </c>
      <c r="E85" s="26"/>
      <c r="F85" s="74"/>
      <c r="G85" s="184">
        <v>1</v>
      </c>
      <c r="H85" s="26"/>
      <c r="I85" s="74"/>
      <c r="J85" s="184">
        <v>0</v>
      </c>
      <c r="K85" s="26"/>
      <c r="L85" s="74"/>
      <c r="M85" s="184">
        <v>0</v>
      </c>
      <c r="N85" s="26"/>
      <c r="O85" s="74"/>
      <c r="P85" s="184">
        <v>0</v>
      </c>
      <c r="Q85" s="26"/>
      <c r="R85" s="74"/>
      <c r="S85" s="184">
        <v>0</v>
      </c>
      <c r="T85" s="26"/>
      <c r="U85" s="74"/>
      <c r="V85" s="181">
        <f t="shared" si="7"/>
        <v>1</v>
      </c>
      <c r="W85" s="26"/>
      <c r="X85" s="74"/>
      <c r="Z85" s="26"/>
      <c r="AA85" s="26"/>
      <c r="AF85" s="8"/>
    </row>
    <row r="86" spans="1:32" x14ac:dyDescent="0.25">
      <c r="A86" s="39" t="s">
        <v>177</v>
      </c>
      <c r="B86" s="163">
        <v>0</v>
      </c>
      <c r="C86" s="41" t="s">
        <v>158</v>
      </c>
      <c r="D86" s="184">
        <v>0</v>
      </c>
      <c r="E86" s="26"/>
      <c r="F86" s="74"/>
      <c r="G86" s="184">
        <v>0</v>
      </c>
      <c r="H86" s="26"/>
      <c r="I86" s="74"/>
      <c r="J86" s="184">
        <v>0</v>
      </c>
      <c r="K86" s="26"/>
      <c r="L86" s="74"/>
      <c r="M86" s="184">
        <v>0</v>
      </c>
      <c r="N86" s="26"/>
      <c r="O86" s="74"/>
      <c r="P86" s="184">
        <v>0</v>
      </c>
      <c r="Q86" s="26"/>
      <c r="R86" s="74"/>
      <c r="S86" s="184">
        <v>0</v>
      </c>
      <c r="T86" s="26"/>
      <c r="U86" s="74"/>
      <c r="V86" s="181">
        <f t="shared" si="7"/>
        <v>0</v>
      </c>
      <c r="W86" s="26"/>
      <c r="X86" s="74"/>
      <c r="Z86" s="26"/>
      <c r="AA86" s="26"/>
      <c r="AF86" s="8"/>
    </row>
    <row r="87" spans="1:32" x14ac:dyDescent="0.25">
      <c r="A87" s="39" t="s">
        <v>177</v>
      </c>
      <c r="B87" s="163">
        <v>0</v>
      </c>
      <c r="C87" s="41" t="s">
        <v>163</v>
      </c>
      <c r="D87" s="184">
        <v>0</v>
      </c>
      <c r="E87" s="26"/>
      <c r="F87" s="74"/>
      <c r="G87" s="184">
        <v>0</v>
      </c>
      <c r="H87" s="26"/>
      <c r="I87" s="74"/>
      <c r="J87" s="184">
        <v>0</v>
      </c>
      <c r="K87" s="26"/>
      <c r="L87" s="74"/>
      <c r="M87" s="184">
        <v>0</v>
      </c>
      <c r="N87" s="26"/>
      <c r="O87" s="74"/>
      <c r="P87" s="184">
        <v>0</v>
      </c>
      <c r="Q87" s="26"/>
      <c r="R87" s="74"/>
      <c r="S87" s="184">
        <v>0</v>
      </c>
      <c r="T87" s="26"/>
      <c r="U87" s="74"/>
      <c r="V87" s="181">
        <f t="shared" si="7"/>
        <v>0</v>
      </c>
      <c r="W87" s="26"/>
      <c r="X87" s="74"/>
      <c r="Z87" s="26"/>
      <c r="AA87" s="26"/>
      <c r="AF87" s="8"/>
    </row>
    <row r="88" spans="1:32" x14ac:dyDescent="0.25">
      <c r="A88" s="203" t="s">
        <v>177</v>
      </c>
      <c r="B88" s="163">
        <v>0</v>
      </c>
      <c r="C88" s="218" t="s">
        <v>154</v>
      </c>
      <c r="D88" s="219">
        <v>0</v>
      </c>
      <c r="E88" s="26"/>
      <c r="F88" s="74"/>
      <c r="G88" s="219">
        <v>0</v>
      </c>
      <c r="H88" s="26"/>
      <c r="I88" s="74"/>
      <c r="J88" s="219">
        <v>0</v>
      </c>
      <c r="K88" s="26"/>
      <c r="L88" s="74"/>
      <c r="M88" s="219">
        <v>0</v>
      </c>
      <c r="N88" s="26"/>
      <c r="O88" s="74"/>
      <c r="P88" s="219">
        <v>0</v>
      </c>
      <c r="Q88" s="26"/>
      <c r="R88" s="74"/>
      <c r="S88" s="219">
        <v>0</v>
      </c>
      <c r="T88" s="26"/>
      <c r="U88" s="74"/>
      <c r="V88" s="181">
        <f t="shared" si="7"/>
        <v>0</v>
      </c>
      <c r="W88" s="26"/>
      <c r="X88" s="74"/>
      <c r="Z88" s="26"/>
      <c r="AA88" s="26"/>
      <c r="AF88" s="8"/>
    </row>
    <row r="89" spans="1:32" x14ac:dyDescent="0.25">
      <c r="A89" s="221"/>
      <c r="B89" s="222"/>
      <c r="C89" s="223"/>
      <c r="D89" s="224"/>
      <c r="E89" s="226"/>
      <c r="F89" s="227"/>
      <c r="G89" s="224"/>
      <c r="H89" s="226"/>
      <c r="I89" s="227"/>
      <c r="J89" s="224"/>
      <c r="K89" s="226"/>
      <c r="L89" s="227"/>
      <c r="M89" s="224"/>
      <c r="N89" s="226"/>
      <c r="O89" s="227"/>
      <c r="P89" s="224"/>
      <c r="Q89" s="226"/>
      <c r="R89" s="227"/>
      <c r="S89" s="224"/>
      <c r="T89" s="226"/>
      <c r="U89" s="227"/>
      <c r="V89" s="225"/>
      <c r="W89" s="26"/>
      <c r="X89" s="74"/>
      <c r="Z89" s="26"/>
      <c r="AA89" s="26"/>
      <c r="AF89" s="8"/>
    </row>
    <row r="90" spans="1:32" x14ac:dyDescent="0.25">
      <c r="A90" s="179" t="s">
        <v>16</v>
      </c>
      <c r="B90" s="163">
        <v>0</v>
      </c>
      <c r="C90" t="s">
        <v>164</v>
      </c>
      <c r="D90" s="184">
        <v>0</v>
      </c>
      <c r="E90" s="26"/>
      <c r="F90" s="74"/>
      <c r="G90" s="184">
        <v>4</v>
      </c>
      <c r="H90" s="26"/>
      <c r="I90" s="74"/>
      <c r="J90" s="184">
        <v>0</v>
      </c>
      <c r="K90" s="26"/>
      <c r="L90" s="74"/>
      <c r="M90" s="184">
        <v>0</v>
      </c>
      <c r="N90" s="26"/>
      <c r="O90" s="74"/>
      <c r="P90" s="184">
        <v>1</v>
      </c>
      <c r="Q90" s="26"/>
      <c r="R90" s="74"/>
      <c r="S90" s="184">
        <v>0</v>
      </c>
      <c r="T90" s="26"/>
      <c r="U90" s="74"/>
      <c r="V90" s="181">
        <f t="shared" ref="V90:V115" si="8">D90+G90+J90+M90+P90+S90</f>
        <v>5</v>
      </c>
      <c r="W90" s="26"/>
      <c r="X90" s="74"/>
      <c r="Z90" s="26"/>
      <c r="AA90" s="26"/>
      <c r="AC90" s="59"/>
      <c r="AF90" s="8"/>
    </row>
    <row r="91" spans="1:32" x14ac:dyDescent="0.25">
      <c r="A91" s="39" t="s">
        <v>16</v>
      </c>
      <c r="B91" s="163">
        <v>0</v>
      </c>
      <c r="C91" s="41" t="s">
        <v>145</v>
      </c>
      <c r="D91" s="184">
        <v>0</v>
      </c>
      <c r="E91" s="26"/>
      <c r="F91" s="74"/>
      <c r="G91" s="184">
        <v>4</v>
      </c>
      <c r="H91" s="26"/>
      <c r="I91" s="74"/>
      <c r="J91" s="184">
        <v>0</v>
      </c>
      <c r="K91" s="26"/>
      <c r="L91" s="74"/>
      <c r="M91" s="184">
        <v>0</v>
      </c>
      <c r="N91" s="26"/>
      <c r="O91" s="74"/>
      <c r="P91" s="184">
        <v>1</v>
      </c>
      <c r="Q91" s="26"/>
      <c r="R91" s="74"/>
      <c r="S91" s="184">
        <v>0</v>
      </c>
      <c r="T91" s="26"/>
      <c r="U91" s="74"/>
      <c r="V91" s="181">
        <f t="shared" si="8"/>
        <v>5</v>
      </c>
      <c r="W91" s="26"/>
      <c r="X91" s="74"/>
      <c r="Z91" s="26"/>
      <c r="AA91" s="26"/>
      <c r="AC91" s="26"/>
      <c r="AF91" s="8"/>
    </row>
    <row r="92" spans="1:32" x14ac:dyDescent="0.25">
      <c r="A92" s="39" t="s">
        <v>16</v>
      </c>
      <c r="B92" s="163">
        <v>0</v>
      </c>
      <c r="C92" s="41" t="s">
        <v>146</v>
      </c>
      <c r="D92" s="184">
        <v>0</v>
      </c>
      <c r="E92" s="26"/>
      <c r="F92" s="74"/>
      <c r="G92" s="184">
        <v>4</v>
      </c>
      <c r="H92" s="26"/>
      <c r="I92" s="74"/>
      <c r="J92" s="184">
        <v>0</v>
      </c>
      <c r="K92" s="26"/>
      <c r="L92" s="74"/>
      <c r="M92" s="184">
        <v>0</v>
      </c>
      <c r="N92" s="26"/>
      <c r="O92" s="74"/>
      <c r="P92" s="184">
        <v>1</v>
      </c>
      <c r="Q92" s="26"/>
      <c r="R92" s="74"/>
      <c r="S92" s="184">
        <v>0</v>
      </c>
      <c r="T92" s="26"/>
      <c r="U92" s="74"/>
      <c r="V92" s="181">
        <f t="shared" si="8"/>
        <v>5</v>
      </c>
      <c r="W92" s="26"/>
      <c r="X92" s="74"/>
      <c r="Z92" s="26"/>
      <c r="AA92" s="26"/>
      <c r="AC92" s="26"/>
      <c r="AF92" s="8"/>
    </row>
    <row r="93" spans="1:32" x14ac:dyDescent="0.25">
      <c r="A93" s="39" t="s">
        <v>16</v>
      </c>
      <c r="B93" s="163">
        <v>0</v>
      </c>
      <c r="C93" s="41" t="s">
        <v>147</v>
      </c>
      <c r="D93" s="184">
        <v>0</v>
      </c>
      <c r="E93" s="26"/>
      <c r="F93" s="74"/>
      <c r="G93" s="184">
        <v>4</v>
      </c>
      <c r="H93" s="26"/>
      <c r="I93" s="74"/>
      <c r="J93" s="184">
        <v>0</v>
      </c>
      <c r="K93" s="26"/>
      <c r="L93" s="74"/>
      <c r="M93" s="184">
        <v>0</v>
      </c>
      <c r="N93" s="26"/>
      <c r="O93" s="74"/>
      <c r="P93" s="184">
        <v>1</v>
      </c>
      <c r="Q93" s="26"/>
      <c r="R93" s="74"/>
      <c r="S93" s="184">
        <v>0</v>
      </c>
      <c r="T93" s="26"/>
      <c r="U93" s="74"/>
      <c r="V93" s="181">
        <f t="shared" si="8"/>
        <v>5</v>
      </c>
      <c r="W93" s="26"/>
      <c r="X93" s="74"/>
      <c r="Z93" s="26"/>
      <c r="AA93" s="26"/>
      <c r="AC93" s="26"/>
      <c r="AF93" s="8"/>
    </row>
    <row r="94" spans="1:32" x14ac:dyDescent="0.25">
      <c r="A94" s="39" t="s">
        <v>16</v>
      </c>
      <c r="B94" s="163">
        <v>0</v>
      </c>
      <c r="C94" s="41" t="s">
        <v>148</v>
      </c>
      <c r="D94" s="184">
        <v>0</v>
      </c>
      <c r="E94" s="26"/>
      <c r="F94" s="74"/>
      <c r="G94" s="184">
        <v>16</v>
      </c>
      <c r="H94" s="26"/>
      <c r="I94" s="74"/>
      <c r="J94" s="184">
        <v>0</v>
      </c>
      <c r="K94" s="26"/>
      <c r="L94" s="74"/>
      <c r="M94" s="184">
        <v>3</v>
      </c>
      <c r="N94" s="26"/>
      <c r="O94" s="74"/>
      <c r="P94" s="184">
        <v>1</v>
      </c>
      <c r="Q94" s="26"/>
      <c r="R94" s="74"/>
      <c r="S94" s="184">
        <v>0</v>
      </c>
      <c r="T94" s="26"/>
      <c r="U94" s="74"/>
      <c r="V94" s="181">
        <f t="shared" si="8"/>
        <v>20</v>
      </c>
      <c r="W94" s="26"/>
      <c r="X94" s="74"/>
      <c r="Z94" s="26"/>
      <c r="AA94" s="26"/>
      <c r="AC94" s="26"/>
      <c r="AF94" s="8"/>
    </row>
    <row r="95" spans="1:32" x14ac:dyDescent="0.25">
      <c r="A95" s="39" t="s">
        <v>16</v>
      </c>
      <c r="B95" s="163">
        <v>0</v>
      </c>
      <c r="C95" s="41" t="s">
        <v>149</v>
      </c>
      <c r="D95" s="184">
        <v>0</v>
      </c>
      <c r="E95" s="26"/>
      <c r="F95" s="74"/>
      <c r="G95" s="184">
        <v>4</v>
      </c>
      <c r="H95" s="26"/>
      <c r="I95" s="74"/>
      <c r="J95" s="184">
        <v>0</v>
      </c>
      <c r="K95" s="26"/>
      <c r="L95" s="74"/>
      <c r="M95" s="184">
        <v>0</v>
      </c>
      <c r="N95" s="26"/>
      <c r="O95" s="74"/>
      <c r="P95" s="184">
        <v>1</v>
      </c>
      <c r="Q95" s="26"/>
      <c r="R95" s="74"/>
      <c r="S95" s="184">
        <v>0</v>
      </c>
      <c r="T95" s="26"/>
      <c r="U95" s="74"/>
      <c r="V95" s="181">
        <f t="shared" si="8"/>
        <v>5</v>
      </c>
      <c r="W95" s="26"/>
      <c r="X95" s="74"/>
      <c r="Z95" s="26"/>
      <c r="AA95" s="26"/>
      <c r="AC95" s="26"/>
      <c r="AF95" s="8"/>
    </row>
    <row r="96" spans="1:32" x14ac:dyDescent="0.25">
      <c r="A96" s="39" t="s">
        <v>16</v>
      </c>
      <c r="B96" s="163">
        <v>0</v>
      </c>
      <c r="C96" s="41" t="s">
        <v>150</v>
      </c>
      <c r="D96" s="184">
        <v>0</v>
      </c>
      <c r="E96" s="26"/>
      <c r="F96" s="74"/>
      <c r="G96" s="184">
        <v>4</v>
      </c>
      <c r="H96" s="26"/>
      <c r="I96" s="74"/>
      <c r="J96" s="184">
        <v>0</v>
      </c>
      <c r="K96" s="26"/>
      <c r="L96" s="74"/>
      <c r="M96" s="184">
        <v>0</v>
      </c>
      <c r="N96" s="26"/>
      <c r="O96" s="74"/>
      <c r="P96" s="184">
        <v>1</v>
      </c>
      <c r="Q96" s="26"/>
      <c r="R96" s="74"/>
      <c r="S96" s="184">
        <v>0</v>
      </c>
      <c r="T96" s="26"/>
      <c r="U96" s="74"/>
      <c r="V96" s="181">
        <f t="shared" si="8"/>
        <v>5</v>
      </c>
      <c r="W96" s="26"/>
      <c r="X96" s="74"/>
      <c r="Z96" s="26"/>
      <c r="AA96" s="26"/>
      <c r="AC96" s="26"/>
      <c r="AF96" s="8"/>
    </row>
    <row r="97" spans="1:32" x14ac:dyDescent="0.25">
      <c r="A97" s="39" t="s">
        <v>16</v>
      </c>
      <c r="B97" s="163">
        <v>0</v>
      </c>
      <c r="C97" s="41" t="s">
        <v>151</v>
      </c>
      <c r="D97" s="184">
        <v>0</v>
      </c>
      <c r="E97" s="26"/>
      <c r="F97" s="74"/>
      <c r="G97" s="184">
        <v>4</v>
      </c>
      <c r="H97" s="26"/>
      <c r="I97" s="74"/>
      <c r="J97" s="184">
        <v>0</v>
      </c>
      <c r="K97" s="26"/>
      <c r="L97" s="74"/>
      <c r="M97" s="184">
        <v>0</v>
      </c>
      <c r="N97" s="26"/>
      <c r="O97" s="74"/>
      <c r="P97" s="184">
        <v>1</v>
      </c>
      <c r="Q97" s="26"/>
      <c r="R97" s="74"/>
      <c r="S97" s="184">
        <v>0</v>
      </c>
      <c r="T97" s="26"/>
      <c r="U97" s="74"/>
      <c r="V97" s="181">
        <f t="shared" si="8"/>
        <v>5</v>
      </c>
      <c r="W97" s="26"/>
      <c r="X97" s="74"/>
      <c r="Z97" s="26"/>
      <c r="AA97" s="26"/>
      <c r="AC97" s="26"/>
      <c r="AF97" s="8"/>
    </row>
    <row r="98" spans="1:32" x14ac:dyDescent="0.25">
      <c r="A98" s="39" t="s">
        <v>16</v>
      </c>
      <c r="B98" s="163">
        <v>0</v>
      </c>
      <c r="C98" s="41" t="s">
        <v>152</v>
      </c>
      <c r="D98" s="184">
        <v>0</v>
      </c>
      <c r="E98" s="26"/>
      <c r="F98" s="74"/>
      <c r="G98" s="184">
        <v>4</v>
      </c>
      <c r="H98" s="26"/>
      <c r="I98" s="74"/>
      <c r="J98" s="184">
        <v>0</v>
      </c>
      <c r="K98" s="26"/>
      <c r="L98" s="74"/>
      <c r="M98" s="184">
        <v>0</v>
      </c>
      <c r="N98" s="26"/>
      <c r="O98" s="74"/>
      <c r="P98" s="184">
        <v>1</v>
      </c>
      <c r="Q98" s="26"/>
      <c r="R98" s="74"/>
      <c r="S98" s="184">
        <v>0</v>
      </c>
      <c r="T98" s="26"/>
      <c r="U98" s="74"/>
      <c r="V98" s="181">
        <f>D98+G98+J98+M98+P98+S98</f>
        <v>5</v>
      </c>
      <c r="W98" s="26"/>
      <c r="X98" s="74"/>
      <c r="Z98" s="26"/>
      <c r="AA98" s="26"/>
      <c r="AC98" s="26"/>
      <c r="AF98" s="8"/>
    </row>
    <row r="99" spans="1:32" x14ac:dyDescent="0.25">
      <c r="A99" s="39" t="s">
        <v>16</v>
      </c>
      <c r="B99" s="163">
        <v>0</v>
      </c>
      <c r="C99" s="41" t="s">
        <v>153</v>
      </c>
      <c r="D99" s="184">
        <v>0</v>
      </c>
      <c r="E99" s="26"/>
      <c r="F99" s="74"/>
      <c r="G99" s="184">
        <v>4</v>
      </c>
      <c r="H99" s="26"/>
      <c r="I99" s="74"/>
      <c r="J99" s="184">
        <v>0</v>
      </c>
      <c r="K99" s="26"/>
      <c r="L99" s="74"/>
      <c r="M99" s="184">
        <v>0</v>
      </c>
      <c r="N99" s="26"/>
      <c r="O99" s="74"/>
      <c r="P99" s="184">
        <v>1</v>
      </c>
      <c r="Q99" s="26"/>
      <c r="R99" s="74"/>
      <c r="S99" s="184">
        <v>0</v>
      </c>
      <c r="T99" s="26"/>
      <c r="U99" s="74"/>
      <c r="V99" s="181">
        <f t="shared" si="8"/>
        <v>5</v>
      </c>
      <c r="W99" s="26"/>
      <c r="X99" s="74"/>
      <c r="Z99" s="26"/>
      <c r="AA99" s="26"/>
      <c r="AC99" s="26"/>
      <c r="AF99" s="8"/>
    </row>
    <row r="100" spans="1:32" x14ac:dyDescent="0.25">
      <c r="A100" s="39" t="s">
        <v>16</v>
      </c>
      <c r="B100" s="163">
        <v>0</v>
      </c>
      <c r="C100" s="41" t="s">
        <v>154</v>
      </c>
      <c r="D100" s="184">
        <v>0</v>
      </c>
      <c r="E100" s="26"/>
      <c r="F100" s="74"/>
      <c r="G100" s="184">
        <v>4</v>
      </c>
      <c r="H100" s="26"/>
      <c r="I100" s="74"/>
      <c r="J100" s="184">
        <v>0</v>
      </c>
      <c r="K100" s="26"/>
      <c r="L100" s="74"/>
      <c r="M100" s="184">
        <v>0</v>
      </c>
      <c r="N100" s="26"/>
      <c r="O100" s="74"/>
      <c r="P100" s="184">
        <v>1</v>
      </c>
      <c r="Q100" s="26"/>
      <c r="R100" s="74"/>
      <c r="S100" s="184">
        <v>0</v>
      </c>
      <c r="T100" s="26"/>
      <c r="U100" s="74"/>
      <c r="V100" s="181">
        <f>D100+G100+J100+M100+P100+S100</f>
        <v>5</v>
      </c>
      <c r="W100" s="26"/>
      <c r="X100" s="74"/>
      <c r="Z100" s="26"/>
      <c r="AA100" s="26"/>
      <c r="AC100" s="26"/>
      <c r="AF100" s="8"/>
    </row>
    <row r="101" spans="1:32" x14ac:dyDescent="0.25">
      <c r="A101" s="39" t="s">
        <v>16</v>
      </c>
      <c r="B101" s="163">
        <v>0</v>
      </c>
      <c r="C101" s="41" t="s">
        <v>155</v>
      </c>
      <c r="D101" s="184">
        <v>0</v>
      </c>
      <c r="E101" s="26"/>
      <c r="F101" s="74"/>
      <c r="G101" s="184">
        <v>4</v>
      </c>
      <c r="H101" s="26"/>
      <c r="I101" s="74"/>
      <c r="J101" s="184">
        <v>0</v>
      </c>
      <c r="K101" s="26"/>
      <c r="L101" s="74"/>
      <c r="M101" s="184">
        <v>0</v>
      </c>
      <c r="N101" s="26"/>
      <c r="O101" s="74"/>
      <c r="P101" s="184">
        <v>1</v>
      </c>
      <c r="Q101" s="26"/>
      <c r="R101" s="74"/>
      <c r="S101" s="184">
        <v>0</v>
      </c>
      <c r="T101" s="26"/>
      <c r="U101" s="74"/>
      <c r="V101" s="181">
        <f t="shared" si="8"/>
        <v>5</v>
      </c>
      <c r="W101" s="26"/>
      <c r="X101" s="74"/>
      <c r="Z101" s="26"/>
      <c r="AA101" s="26"/>
      <c r="AC101" s="26"/>
      <c r="AF101" s="8"/>
    </row>
    <row r="102" spans="1:32" x14ac:dyDescent="0.25">
      <c r="A102" s="39" t="s">
        <v>16</v>
      </c>
      <c r="B102" s="163">
        <v>0</v>
      </c>
      <c r="C102" s="41" t="s">
        <v>156</v>
      </c>
      <c r="D102" s="184">
        <v>0</v>
      </c>
      <c r="E102" s="26"/>
      <c r="F102" s="74"/>
      <c r="G102" s="184">
        <v>4</v>
      </c>
      <c r="H102" s="26"/>
      <c r="I102" s="74"/>
      <c r="J102" s="184">
        <v>0</v>
      </c>
      <c r="K102" s="26"/>
      <c r="L102" s="74"/>
      <c r="M102" s="184">
        <v>0</v>
      </c>
      <c r="N102" s="26"/>
      <c r="O102" s="74"/>
      <c r="P102" s="184">
        <v>1</v>
      </c>
      <c r="Q102" s="26"/>
      <c r="R102" s="74"/>
      <c r="S102" s="184">
        <v>0</v>
      </c>
      <c r="T102" s="26"/>
      <c r="U102" s="74"/>
      <c r="V102" s="181">
        <f t="shared" si="8"/>
        <v>5</v>
      </c>
      <c r="W102" s="26"/>
      <c r="X102" s="74"/>
      <c r="Z102" s="26"/>
      <c r="AA102" s="26"/>
      <c r="AC102" s="26"/>
      <c r="AF102" s="8"/>
    </row>
    <row r="103" spans="1:32" x14ac:dyDescent="0.25">
      <c r="A103" s="39" t="s">
        <v>16</v>
      </c>
      <c r="B103" s="163">
        <v>0</v>
      </c>
      <c r="C103" s="41" t="s">
        <v>157</v>
      </c>
      <c r="D103" s="184">
        <v>0</v>
      </c>
      <c r="E103" s="26"/>
      <c r="F103" s="74"/>
      <c r="G103" s="184">
        <v>4</v>
      </c>
      <c r="H103" s="26"/>
      <c r="I103" s="74"/>
      <c r="J103" s="184">
        <v>0</v>
      </c>
      <c r="K103" s="26"/>
      <c r="L103" s="74"/>
      <c r="M103" s="184">
        <v>0</v>
      </c>
      <c r="N103" s="26"/>
      <c r="O103" s="74"/>
      <c r="P103" s="184">
        <v>1</v>
      </c>
      <c r="Q103" s="26"/>
      <c r="R103" s="74"/>
      <c r="S103" s="184">
        <v>0</v>
      </c>
      <c r="T103" s="26"/>
      <c r="U103" s="74"/>
      <c r="V103" s="181">
        <f t="shared" si="8"/>
        <v>5</v>
      </c>
      <c r="W103" s="26"/>
      <c r="X103" s="74"/>
      <c r="Z103" s="26"/>
      <c r="AA103" s="26"/>
      <c r="AC103" s="26"/>
      <c r="AF103" s="8"/>
    </row>
    <row r="104" spans="1:32" x14ac:dyDescent="0.25">
      <c r="A104" s="39" t="s">
        <v>16</v>
      </c>
      <c r="B104" s="163">
        <v>0</v>
      </c>
      <c r="C104" s="41" t="s">
        <v>158</v>
      </c>
      <c r="D104" s="184">
        <v>0</v>
      </c>
      <c r="E104" s="26"/>
      <c r="F104" s="74"/>
      <c r="G104" s="184">
        <v>4</v>
      </c>
      <c r="H104" s="26"/>
      <c r="I104" s="74"/>
      <c r="J104" s="184">
        <v>0</v>
      </c>
      <c r="K104" s="26"/>
      <c r="L104" s="74"/>
      <c r="M104" s="184">
        <v>0</v>
      </c>
      <c r="N104" s="26"/>
      <c r="O104" s="74"/>
      <c r="P104" s="184">
        <v>1</v>
      </c>
      <c r="Q104" s="26"/>
      <c r="R104" s="74"/>
      <c r="S104" s="184">
        <v>0</v>
      </c>
      <c r="T104" s="26"/>
      <c r="U104" s="74"/>
      <c r="V104" s="181">
        <f t="shared" si="8"/>
        <v>5</v>
      </c>
      <c r="W104" s="26"/>
      <c r="X104" s="74"/>
      <c r="Z104" s="26"/>
      <c r="AA104" s="26"/>
      <c r="AC104" s="26"/>
      <c r="AF104" s="8"/>
    </row>
    <row r="105" spans="1:32" x14ac:dyDescent="0.25">
      <c r="A105" s="39" t="s">
        <v>16</v>
      </c>
      <c r="B105" s="163">
        <v>0</v>
      </c>
      <c r="C105" s="41" t="s">
        <v>159</v>
      </c>
      <c r="D105" s="184">
        <v>0</v>
      </c>
      <c r="E105" s="26"/>
      <c r="F105" s="74"/>
      <c r="G105" s="184">
        <v>4</v>
      </c>
      <c r="H105" s="26"/>
      <c r="I105" s="74"/>
      <c r="J105" s="184">
        <v>0</v>
      </c>
      <c r="K105" s="26"/>
      <c r="L105" s="74"/>
      <c r="M105" s="184">
        <v>0</v>
      </c>
      <c r="N105" s="26"/>
      <c r="O105" s="74"/>
      <c r="P105" s="184">
        <v>1</v>
      </c>
      <c r="Q105" s="26"/>
      <c r="R105" s="74"/>
      <c r="S105" s="184">
        <v>0</v>
      </c>
      <c r="T105" s="26"/>
      <c r="U105" s="74"/>
      <c r="V105" s="181">
        <f t="shared" si="8"/>
        <v>5</v>
      </c>
      <c r="W105" s="26"/>
      <c r="X105" s="74"/>
      <c r="Z105" s="26"/>
      <c r="AA105" s="26"/>
      <c r="AC105" s="26"/>
      <c r="AF105" s="8"/>
    </row>
    <row r="106" spans="1:32" x14ac:dyDescent="0.25">
      <c r="A106" s="39" t="s">
        <v>16</v>
      </c>
      <c r="B106" s="163">
        <v>0</v>
      </c>
      <c r="C106" s="41" t="s">
        <v>160</v>
      </c>
      <c r="D106" s="184">
        <v>0</v>
      </c>
      <c r="E106" s="26"/>
      <c r="F106" s="74"/>
      <c r="G106" s="184">
        <v>4</v>
      </c>
      <c r="H106" s="26"/>
      <c r="I106" s="74"/>
      <c r="J106" s="184">
        <v>0</v>
      </c>
      <c r="K106" s="26"/>
      <c r="L106" s="74"/>
      <c r="M106" s="184">
        <v>0</v>
      </c>
      <c r="N106" s="26"/>
      <c r="O106" s="74"/>
      <c r="P106" s="184">
        <v>1</v>
      </c>
      <c r="Q106" s="26"/>
      <c r="R106" s="74"/>
      <c r="S106" s="184">
        <v>0</v>
      </c>
      <c r="T106" s="26"/>
      <c r="U106" s="74"/>
      <c r="V106" s="181">
        <f t="shared" si="8"/>
        <v>5</v>
      </c>
      <c r="W106" s="26"/>
      <c r="X106" s="74"/>
      <c r="Z106" s="26"/>
      <c r="AA106" s="26"/>
      <c r="AC106" s="26"/>
      <c r="AF106" s="8"/>
    </row>
    <row r="107" spans="1:32" x14ac:dyDescent="0.25">
      <c r="A107" s="39" t="s">
        <v>16</v>
      </c>
      <c r="B107" s="163">
        <v>0</v>
      </c>
      <c r="C107" s="41" t="s">
        <v>161</v>
      </c>
      <c r="D107" s="184">
        <v>0</v>
      </c>
      <c r="E107" s="167"/>
      <c r="F107" s="74"/>
      <c r="G107" s="184">
        <v>4</v>
      </c>
      <c r="I107" s="74"/>
      <c r="J107" s="184">
        <v>0</v>
      </c>
      <c r="L107" s="74"/>
      <c r="M107" s="184">
        <v>35</v>
      </c>
      <c r="O107" s="74"/>
      <c r="P107" s="184">
        <v>1</v>
      </c>
      <c r="R107" s="74"/>
      <c r="S107" s="184">
        <v>0</v>
      </c>
      <c r="U107" s="74"/>
      <c r="V107" s="181">
        <f t="shared" si="8"/>
        <v>40</v>
      </c>
      <c r="X107" s="74"/>
      <c r="Y107" s="167"/>
      <c r="Z107" s="26"/>
      <c r="AA107" s="26"/>
      <c r="AC107" s="26"/>
      <c r="AF107" s="8"/>
    </row>
    <row r="108" spans="1:32" x14ac:dyDescent="0.25">
      <c r="A108" s="39" t="s">
        <v>16</v>
      </c>
      <c r="B108" s="163">
        <v>0</v>
      </c>
      <c r="C108" s="41" t="s">
        <v>162</v>
      </c>
      <c r="D108" s="184">
        <v>0</v>
      </c>
      <c r="F108" s="74"/>
      <c r="G108" s="184">
        <v>4</v>
      </c>
      <c r="I108" s="74"/>
      <c r="J108" s="184">
        <v>0</v>
      </c>
      <c r="L108" s="74"/>
      <c r="M108" s="184">
        <v>0</v>
      </c>
      <c r="O108" s="74"/>
      <c r="P108" s="184">
        <v>1</v>
      </c>
      <c r="R108" s="74"/>
      <c r="S108" s="184">
        <v>0</v>
      </c>
      <c r="U108" s="74"/>
      <c r="V108" s="181">
        <f t="shared" si="8"/>
        <v>5</v>
      </c>
      <c r="X108" s="74"/>
      <c r="Z108" s="26"/>
      <c r="AA108" s="26"/>
      <c r="AC108" s="26"/>
      <c r="AF108" s="8"/>
    </row>
    <row r="109" spans="1:32" x14ac:dyDescent="0.25">
      <c r="A109" s="39" t="s">
        <v>16</v>
      </c>
      <c r="B109" s="163">
        <v>0</v>
      </c>
      <c r="C109" s="41" t="s">
        <v>202</v>
      </c>
      <c r="D109" s="184">
        <v>0</v>
      </c>
      <c r="F109" s="74"/>
      <c r="G109" s="184">
        <v>4</v>
      </c>
      <c r="I109" s="74"/>
      <c r="J109" s="184">
        <v>0</v>
      </c>
      <c r="L109" s="74"/>
      <c r="M109" s="184">
        <v>0</v>
      </c>
      <c r="O109" s="74"/>
      <c r="P109" s="184">
        <v>1</v>
      </c>
      <c r="R109" s="74"/>
      <c r="S109" s="184">
        <v>0</v>
      </c>
      <c r="U109" s="74"/>
      <c r="V109" s="181">
        <f t="shared" si="8"/>
        <v>5</v>
      </c>
      <c r="X109" s="74"/>
      <c r="Z109" s="26"/>
      <c r="AA109" s="26"/>
      <c r="AC109" s="26"/>
      <c r="AF109" s="8"/>
    </row>
    <row r="110" spans="1:32" x14ac:dyDescent="0.25">
      <c r="A110" s="39" t="s">
        <v>16</v>
      </c>
      <c r="B110" s="163">
        <v>0</v>
      </c>
      <c r="C110" s="41" t="s">
        <v>163</v>
      </c>
      <c r="D110" s="184">
        <v>0</v>
      </c>
      <c r="F110" s="74"/>
      <c r="G110" s="184">
        <v>4</v>
      </c>
      <c r="I110" s="74"/>
      <c r="J110" s="184">
        <v>0</v>
      </c>
      <c r="L110" s="74"/>
      <c r="M110" s="184">
        <v>0</v>
      </c>
      <c r="O110" s="74"/>
      <c r="P110" s="184">
        <v>1</v>
      </c>
      <c r="R110" s="74"/>
      <c r="S110" s="184">
        <v>0</v>
      </c>
      <c r="U110" s="74"/>
      <c r="V110" s="181">
        <f t="shared" si="8"/>
        <v>5</v>
      </c>
      <c r="X110" s="74"/>
      <c r="Z110" s="26"/>
      <c r="AA110" s="26"/>
      <c r="AC110" s="26"/>
    </row>
    <row r="111" spans="1:32" x14ac:dyDescent="0.25">
      <c r="A111" s="39" t="s">
        <v>16</v>
      </c>
      <c r="B111" s="163">
        <v>0</v>
      </c>
      <c r="C111" s="41" t="s">
        <v>165</v>
      </c>
      <c r="D111" s="184">
        <v>0</v>
      </c>
      <c r="E111" s="26"/>
      <c r="F111" s="74"/>
      <c r="G111" s="184">
        <v>4</v>
      </c>
      <c r="H111" s="26"/>
      <c r="I111" s="74"/>
      <c r="J111" s="184">
        <v>0</v>
      </c>
      <c r="K111" s="26"/>
      <c r="L111" s="74"/>
      <c r="M111" s="184">
        <v>0</v>
      </c>
      <c r="N111" s="26"/>
      <c r="O111" s="74"/>
      <c r="P111" s="184">
        <v>1</v>
      </c>
      <c r="Q111" s="26"/>
      <c r="R111" s="74"/>
      <c r="S111" s="184">
        <v>0</v>
      </c>
      <c r="T111" s="26"/>
      <c r="U111" s="74"/>
      <c r="V111" s="181">
        <f t="shared" si="8"/>
        <v>5</v>
      </c>
      <c r="W111" s="26"/>
      <c r="X111" s="74"/>
      <c r="Z111" s="26"/>
      <c r="AA111" s="26"/>
      <c r="AC111" s="26"/>
      <c r="AF111" s="8"/>
    </row>
    <row r="112" spans="1:32" x14ac:dyDescent="0.25">
      <c r="A112" s="39" t="s">
        <v>16</v>
      </c>
      <c r="B112" s="163">
        <v>0</v>
      </c>
      <c r="C112" s="41" t="s">
        <v>166</v>
      </c>
      <c r="D112" s="184">
        <v>0</v>
      </c>
      <c r="E112" s="26"/>
      <c r="F112" s="74"/>
      <c r="G112" s="184">
        <v>4</v>
      </c>
      <c r="H112" s="26"/>
      <c r="I112" s="74"/>
      <c r="J112" s="184">
        <v>0</v>
      </c>
      <c r="K112" s="26"/>
      <c r="L112" s="74"/>
      <c r="M112" s="184">
        <v>0</v>
      </c>
      <c r="N112" s="26"/>
      <c r="O112" s="74"/>
      <c r="P112" s="184">
        <v>1</v>
      </c>
      <c r="Q112" s="26"/>
      <c r="R112" s="74"/>
      <c r="S112" s="184">
        <v>0</v>
      </c>
      <c r="T112" s="26"/>
      <c r="U112" s="74"/>
      <c r="V112" s="181">
        <f t="shared" si="8"/>
        <v>5</v>
      </c>
      <c r="W112" s="26"/>
      <c r="X112" s="74"/>
      <c r="Z112" s="26"/>
      <c r="AA112" s="26"/>
      <c r="AC112" s="26"/>
      <c r="AF112" s="8"/>
    </row>
    <row r="113" spans="1:32" x14ac:dyDescent="0.25">
      <c r="A113" s="39" t="s">
        <v>16</v>
      </c>
      <c r="B113" s="163">
        <v>0</v>
      </c>
      <c r="C113" s="41" t="s">
        <v>167</v>
      </c>
      <c r="D113" s="184">
        <v>0</v>
      </c>
      <c r="E113" s="26"/>
      <c r="F113" s="74"/>
      <c r="G113" s="184">
        <v>4</v>
      </c>
      <c r="H113" s="26"/>
      <c r="I113" s="74"/>
      <c r="J113" s="184">
        <v>0</v>
      </c>
      <c r="K113" s="26"/>
      <c r="L113" s="74"/>
      <c r="M113" s="184">
        <v>0</v>
      </c>
      <c r="N113" s="26"/>
      <c r="O113" s="74"/>
      <c r="P113" s="184">
        <v>1</v>
      </c>
      <c r="Q113" s="26"/>
      <c r="R113" s="74"/>
      <c r="S113" s="184">
        <v>0</v>
      </c>
      <c r="T113" s="26"/>
      <c r="U113" s="74"/>
      <c r="V113" s="181">
        <f t="shared" si="8"/>
        <v>5</v>
      </c>
      <c r="W113" s="26"/>
      <c r="X113" s="74"/>
      <c r="Z113" s="26"/>
      <c r="AA113" s="26"/>
      <c r="AC113" s="26"/>
      <c r="AF113" s="8"/>
    </row>
    <row r="114" spans="1:32" x14ac:dyDescent="0.25">
      <c r="A114" s="39" t="s">
        <v>16</v>
      </c>
      <c r="B114" s="163">
        <v>0</v>
      </c>
      <c r="C114" s="41" t="s">
        <v>171</v>
      </c>
      <c r="D114" s="184">
        <v>0</v>
      </c>
      <c r="E114" s="26"/>
      <c r="F114" s="74"/>
      <c r="G114" s="184">
        <v>4</v>
      </c>
      <c r="H114" s="26"/>
      <c r="I114" s="74"/>
      <c r="J114" s="184">
        <v>0</v>
      </c>
      <c r="K114" s="26"/>
      <c r="L114" s="74"/>
      <c r="M114" s="184">
        <v>0</v>
      </c>
      <c r="N114" s="26"/>
      <c r="O114" s="74"/>
      <c r="P114" s="184">
        <v>1</v>
      </c>
      <c r="Q114" s="26"/>
      <c r="R114" s="74"/>
      <c r="S114" s="184">
        <v>0</v>
      </c>
      <c r="T114" s="26"/>
      <c r="U114" s="74"/>
      <c r="V114" s="181">
        <f t="shared" si="8"/>
        <v>5</v>
      </c>
      <c r="W114" s="26"/>
      <c r="X114" s="74"/>
      <c r="Z114" s="26"/>
      <c r="AA114" s="26"/>
      <c r="AC114" s="26"/>
      <c r="AF114" s="8"/>
    </row>
    <row r="115" spans="1:32" x14ac:dyDescent="0.25">
      <c r="A115" s="39" t="s">
        <v>16</v>
      </c>
      <c r="B115" s="163">
        <v>0</v>
      </c>
      <c r="C115" s="41" t="s">
        <v>172</v>
      </c>
      <c r="D115" s="184">
        <v>0</v>
      </c>
      <c r="E115" s="26"/>
      <c r="F115" s="26"/>
      <c r="G115" s="184">
        <v>0</v>
      </c>
      <c r="H115" s="26"/>
      <c r="I115" s="26"/>
      <c r="J115" s="184">
        <v>0</v>
      </c>
      <c r="K115" s="26"/>
      <c r="L115" s="26"/>
      <c r="M115" s="184">
        <v>0</v>
      </c>
      <c r="N115" s="26"/>
      <c r="O115" s="26"/>
      <c r="P115" s="184">
        <v>0</v>
      </c>
      <c r="Q115" s="26"/>
      <c r="R115" s="26"/>
      <c r="S115" s="184">
        <v>0</v>
      </c>
      <c r="T115" s="26"/>
      <c r="U115" s="26"/>
      <c r="V115" s="181">
        <f t="shared" si="8"/>
        <v>0</v>
      </c>
      <c r="W115" s="26"/>
      <c r="X115" s="26"/>
      <c r="Z115" s="26"/>
      <c r="AA115" s="26"/>
      <c r="AC115" s="26"/>
      <c r="AF115" s="8"/>
    </row>
    <row r="116" spans="1:32" x14ac:dyDescent="0.25">
      <c r="A116" s="60" t="s">
        <v>53</v>
      </c>
      <c r="B116" s="157">
        <f>SUM(B79:B115)</f>
        <v>0</v>
      </c>
      <c r="C116" s="158"/>
      <c r="D116" s="157">
        <f>SUM(D79:D115)</f>
        <v>0</v>
      </c>
      <c r="F116" s="26"/>
      <c r="G116" s="157">
        <f>SUM(G79:G115)</f>
        <v>114</v>
      </c>
      <c r="I116" s="26"/>
      <c r="J116" s="157">
        <f>SUM(J79:J115)</f>
        <v>0</v>
      </c>
      <c r="L116" s="26"/>
      <c r="M116" s="157">
        <f>SUM(M79:M115)</f>
        <v>38</v>
      </c>
      <c r="O116" s="26"/>
      <c r="P116" s="157">
        <f>SUM(P79:P115)</f>
        <v>25</v>
      </c>
      <c r="R116" s="26"/>
      <c r="S116" s="157">
        <f>SUM(S79:S115)</f>
        <v>0</v>
      </c>
      <c r="U116" s="26"/>
      <c r="V116" s="157">
        <f>SUM(V79:V115)</f>
        <v>177</v>
      </c>
      <c r="X116" s="26"/>
      <c r="Z116" s="26"/>
      <c r="AA116" s="26"/>
      <c r="AC116" s="26"/>
    </row>
    <row r="117" spans="1:32" x14ac:dyDescent="0.25">
      <c r="F117" s="26"/>
      <c r="I117" s="26"/>
      <c r="L117" s="26"/>
      <c r="O117" s="26"/>
      <c r="R117" s="26"/>
      <c r="U117" s="26"/>
      <c r="V117" s="8"/>
      <c r="X117" s="26"/>
      <c r="Y117" s="173"/>
      <c r="Z117" s="26"/>
      <c r="AA117" s="26"/>
    </row>
    <row r="118" spans="1:32" ht="15.75" thickBot="1" x14ac:dyDescent="0.3">
      <c r="A118" s="26"/>
      <c r="B118" s="86"/>
      <c r="V118" s="8"/>
      <c r="Y118" s="173"/>
      <c r="Z118" s="26"/>
    </row>
    <row r="119" spans="1:32" x14ac:dyDescent="0.25">
      <c r="A119" s="171" t="s">
        <v>129</v>
      </c>
      <c r="V119" s="8"/>
      <c r="Y119" s="173"/>
      <c r="Z119" s="26"/>
    </row>
    <row r="120" spans="1:32" x14ac:dyDescent="0.25">
      <c r="A120" s="169" t="s">
        <v>126</v>
      </c>
      <c r="V120" s="8"/>
      <c r="Y120" s="173"/>
      <c r="Z120" s="26"/>
    </row>
    <row r="121" spans="1:32" x14ac:dyDescent="0.25">
      <c r="A121" s="169" t="s">
        <v>127</v>
      </c>
      <c r="V121" s="8"/>
      <c r="Y121" s="173"/>
    </row>
    <row r="122" spans="1:32" ht="15.75" thickBot="1" x14ac:dyDescent="0.3">
      <c r="A122" s="170" t="s">
        <v>128</v>
      </c>
      <c r="Y122" s="173"/>
    </row>
    <row r="123" spans="1:32" ht="15.75" thickBot="1" x14ac:dyDescent="0.3">
      <c r="Y123" s="173"/>
    </row>
    <row r="124" spans="1:32" x14ac:dyDescent="0.25">
      <c r="A124" s="171" t="s">
        <v>187</v>
      </c>
      <c r="V124" s="8"/>
      <c r="Y124" s="173"/>
      <c r="Z124" s="26"/>
    </row>
    <row r="125" spans="1:32" x14ac:dyDescent="0.25">
      <c r="A125" s="169" t="s">
        <v>188</v>
      </c>
      <c r="V125" s="8"/>
      <c r="Y125" s="173"/>
    </row>
    <row r="126" spans="1:32" ht="15.75" thickBot="1" x14ac:dyDescent="0.3">
      <c r="A126" s="170"/>
      <c r="Y126" s="173"/>
    </row>
    <row r="127" spans="1:32" x14ac:dyDescent="0.25">
      <c r="Y127" s="173"/>
    </row>
    <row r="128" spans="1:32" x14ac:dyDescent="0.25">
      <c r="Y128" s="173"/>
    </row>
  </sheetData>
  <pageMargins left="0.7" right="0.7" top="0.75" bottom="0.75" header="0.3" footer="0.3"/>
  <pageSetup paperSize="9" scale="94" fitToHeight="0"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AG132"/>
  <sheetViews>
    <sheetView topLeftCell="A4" workbookViewId="0">
      <selection activeCell="S64" sqref="S64"/>
    </sheetView>
  </sheetViews>
  <sheetFormatPr defaultRowHeight="15" x14ac:dyDescent="0.25"/>
  <cols>
    <col min="1" max="1" width="43.85546875" customWidth="1"/>
    <col min="2" max="2" width="11.5703125" customWidth="1"/>
    <col min="3" max="3" width="33.28515625" customWidth="1"/>
    <col min="4" max="4" width="8.85546875" style="1" hidden="1" customWidth="1"/>
    <col min="5" max="6" width="8.85546875" hidden="1" customWidth="1"/>
    <col min="7" max="7" width="8.85546875" style="1" hidden="1" customWidth="1"/>
    <col min="8" max="9" width="8.85546875" hidden="1" customWidth="1"/>
    <col min="10" max="10" width="8.85546875" style="1" hidden="1" customWidth="1"/>
    <col min="11" max="12" width="8.85546875" hidden="1" customWidth="1"/>
    <col min="13" max="13" width="9.140625" style="1"/>
    <col min="16" max="16" width="9.140625" style="1"/>
    <col min="19" max="19" width="9.140625" style="1"/>
    <col min="22" max="22" width="9.7109375" customWidth="1"/>
    <col min="26" max="26" width="33.7109375" customWidth="1"/>
  </cols>
  <sheetData>
    <row r="1" spans="1:33" ht="15.75" thickBot="1" x14ac:dyDescent="0.3">
      <c r="A1" s="174" t="s">
        <v>27</v>
      </c>
      <c r="B1" s="177" t="s">
        <v>214</v>
      </c>
      <c r="C1" s="174" t="s">
        <v>168</v>
      </c>
      <c r="D1" s="175"/>
      <c r="E1" s="175"/>
      <c r="F1" s="175"/>
      <c r="G1" s="175"/>
      <c r="H1" s="175"/>
      <c r="I1" s="175"/>
      <c r="J1" s="175"/>
      <c r="K1" s="175"/>
      <c r="L1" s="175"/>
      <c r="M1" s="175"/>
      <c r="N1" s="175"/>
      <c r="O1" s="175"/>
      <c r="P1" s="175"/>
      <c r="Q1" s="175"/>
      <c r="R1" s="175"/>
      <c r="S1" s="175"/>
      <c r="T1" s="175"/>
      <c r="U1" s="175"/>
      <c r="V1" s="176"/>
      <c r="AE1" s="74"/>
      <c r="AF1" s="8"/>
    </row>
    <row r="2" spans="1:33" ht="30.75" thickBot="1" x14ac:dyDescent="0.3">
      <c r="A2" s="198" t="s">
        <v>77</v>
      </c>
      <c r="B2" s="199"/>
      <c r="C2" s="198"/>
      <c r="D2" s="200" t="s">
        <v>216</v>
      </c>
      <c r="E2" s="206"/>
      <c r="F2" s="206"/>
      <c r="G2" s="200" t="s">
        <v>217</v>
      </c>
      <c r="H2" s="206"/>
      <c r="I2" s="206"/>
      <c r="J2" s="200" t="s">
        <v>218</v>
      </c>
      <c r="K2" s="206"/>
      <c r="L2" s="206"/>
      <c r="M2" s="200" t="s">
        <v>231</v>
      </c>
      <c r="N2" s="206"/>
      <c r="O2" s="206"/>
      <c r="P2" s="200" t="s">
        <v>232</v>
      </c>
      <c r="Q2" s="206"/>
      <c r="R2" s="206"/>
      <c r="S2" s="200" t="s">
        <v>233</v>
      </c>
      <c r="T2" s="206"/>
      <c r="U2" s="206"/>
      <c r="V2" s="209" t="s">
        <v>215</v>
      </c>
      <c r="AA2" s="90"/>
      <c r="AE2" s="74"/>
      <c r="AF2" s="8"/>
      <c r="AG2" s="26"/>
    </row>
    <row r="3" spans="1:33" x14ac:dyDescent="0.25">
      <c r="A3" s="179" t="s">
        <v>12</v>
      </c>
      <c r="B3" s="180">
        <v>0</v>
      </c>
      <c r="C3" s="179"/>
      <c r="D3" s="180">
        <v>0</v>
      </c>
      <c r="E3" s="26"/>
      <c r="F3" s="26"/>
      <c r="G3" s="180">
        <v>0</v>
      </c>
      <c r="H3" s="26"/>
      <c r="I3" s="26"/>
      <c r="J3" s="180">
        <v>0</v>
      </c>
      <c r="K3" s="26"/>
      <c r="L3" s="26"/>
      <c r="M3" s="180">
        <v>0</v>
      </c>
      <c r="N3" s="26"/>
      <c r="O3" s="26"/>
      <c r="P3" s="180">
        <v>0</v>
      </c>
      <c r="Q3" s="26"/>
      <c r="R3" s="26"/>
      <c r="S3" s="180">
        <v>0</v>
      </c>
      <c r="T3" s="26"/>
      <c r="U3" s="26"/>
      <c r="V3" s="181">
        <f>D3+G3+J3+M3+P3+S3</f>
        <v>0</v>
      </c>
      <c r="W3" s="26"/>
      <c r="X3" s="26"/>
      <c r="Y3" s="26"/>
      <c r="Z3" s="26"/>
      <c r="AA3" s="58"/>
      <c r="AB3" s="26"/>
      <c r="AD3" s="6"/>
      <c r="AG3" s="26"/>
    </row>
    <row r="4" spans="1:33" x14ac:dyDescent="0.25">
      <c r="A4" s="39" t="s">
        <v>49</v>
      </c>
      <c r="B4" s="163">
        <v>0</v>
      </c>
      <c r="C4" s="39"/>
      <c r="D4" s="163">
        <v>0</v>
      </c>
      <c r="G4" s="163">
        <v>0</v>
      </c>
      <c r="J4" s="163">
        <v>0</v>
      </c>
      <c r="M4" s="163">
        <v>0</v>
      </c>
      <c r="P4" s="163">
        <v>0</v>
      </c>
      <c r="S4" s="163">
        <v>0</v>
      </c>
      <c r="V4" s="181">
        <f t="shared" ref="V4:V6" si="0">D4+G4+J4+M4+P4+S4</f>
        <v>0</v>
      </c>
      <c r="Z4" s="26"/>
      <c r="AA4" s="58"/>
      <c r="AF4" s="8"/>
    </row>
    <row r="5" spans="1:33" x14ac:dyDescent="0.25">
      <c r="A5" s="39" t="s">
        <v>181</v>
      </c>
      <c r="B5" s="163">
        <v>0</v>
      </c>
      <c r="C5" s="39"/>
      <c r="D5" s="163">
        <v>0</v>
      </c>
      <c r="G5" s="163">
        <v>0</v>
      </c>
      <c r="J5" s="163">
        <v>0</v>
      </c>
      <c r="M5" s="163">
        <v>0</v>
      </c>
      <c r="P5" s="163">
        <v>0</v>
      </c>
      <c r="S5" s="163">
        <v>0</v>
      </c>
      <c r="V5" s="181">
        <f t="shared" si="0"/>
        <v>0</v>
      </c>
      <c r="Z5" s="26"/>
      <c r="AA5" s="58"/>
      <c r="AF5" s="8"/>
      <c r="AG5" s="26"/>
    </row>
    <row r="6" spans="1:33" x14ac:dyDescent="0.25">
      <c r="A6" s="39" t="s">
        <v>48</v>
      </c>
      <c r="B6" s="163">
        <v>0</v>
      </c>
      <c r="C6" s="39"/>
      <c r="D6" s="163">
        <v>0</v>
      </c>
      <c r="G6" s="163">
        <v>0</v>
      </c>
      <c r="J6" s="163">
        <v>0</v>
      </c>
      <c r="M6" s="163">
        <v>0</v>
      </c>
      <c r="P6" s="163">
        <v>0</v>
      </c>
      <c r="S6" s="163">
        <v>0</v>
      </c>
      <c r="V6" s="181">
        <f t="shared" si="0"/>
        <v>0</v>
      </c>
      <c r="Z6" s="26"/>
      <c r="AA6" s="58"/>
      <c r="AF6" s="8"/>
    </row>
    <row r="7" spans="1:33" ht="15.75" thickBot="1" x14ac:dyDescent="0.3">
      <c r="A7" s="203" t="s">
        <v>50</v>
      </c>
      <c r="B7" s="263">
        <v>0</v>
      </c>
      <c r="C7" s="203"/>
      <c r="D7" s="263">
        <v>0</v>
      </c>
      <c r="E7" s="246" t="s">
        <v>84</v>
      </c>
      <c r="F7" s="246" t="s">
        <v>85</v>
      </c>
      <c r="G7" s="263">
        <v>0</v>
      </c>
      <c r="H7" s="246" t="s">
        <v>84</v>
      </c>
      <c r="I7" s="246" t="s">
        <v>85</v>
      </c>
      <c r="J7" s="263">
        <v>0</v>
      </c>
      <c r="K7" s="246" t="s">
        <v>84</v>
      </c>
      <c r="L7" s="246" t="s">
        <v>85</v>
      </c>
      <c r="M7" s="263">
        <v>0</v>
      </c>
      <c r="P7" s="263">
        <v>0</v>
      </c>
      <c r="S7" s="263">
        <v>0</v>
      </c>
      <c r="V7" s="220">
        <f t="shared" ref="V7" si="1">D7+G7+J7+M7+P7+S7</f>
        <v>0</v>
      </c>
      <c r="AA7" s="58"/>
    </row>
    <row r="8" spans="1:33" x14ac:dyDescent="0.25">
      <c r="A8" s="247"/>
      <c r="B8" s="264"/>
      <c r="C8" s="249"/>
      <c r="D8" s="264">
        <v>0</v>
      </c>
      <c r="E8" s="250" t="s">
        <v>84</v>
      </c>
      <c r="F8" s="250" t="s">
        <v>85</v>
      </c>
      <c r="G8" s="264">
        <v>0</v>
      </c>
      <c r="H8" s="250" t="s">
        <v>84</v>
      </c>
      <c r="I8" s="250" t="s">
        <v>85</v>
      </c>
      <c r="J8" s="264">
        <v>0</v>
      </c>
      <c r="K8" s="250" t="s">
        <v>84</v>
      </c>
      <c r="L8" s="250" t="s">
        <v>85</v>
      </c>
      <c r="M8" s="264"/>
      <c r="N8" s="250" t="s">
        <v>84</v>
      </c>
      <c r="O8" s="250" t="s">
        <v>85</v>
      </c>
      <c r="P8" s="264"/>
      <c r="Q8" s="250" t="s">
        <v>84</v>
      </c>
      <c r="R8" s="250" t="s">
        <v>85</v>
      </c>
      <c r="S8" s="264"/>
      <c r="T8" s="250" t="s">
        <v>84</v>
      </c>
      <c r="U8" s="250" t="s">
        <v>85</v>
      </c>
      <c r="V8" s="251"/>
      <c r="W8" s="252" t="s">
        <v>84</v>
      </c>
      <c r="X8" s="253" t="s">
        <v>85</v>
      </c>
      <c r="AA8" s="58"/>
    </row>
    <row r="9" spans="1:33" ht="15.75" thickBot="1" x14ac:dyDescent="0.3">
      <c r="A9" s="254" t="s">
        <v>53</v>
      </c>
      <c r="B9" s="255">
        <f>SUM(B3:B8)</f>
        <v>0</v>
      </c>
      <c r="C9" s="256"/>
      <c r="D9" s="255">
        <f>SUM(D3:D8)</f>
        <v>0</v>
      </c>
      <c r="E9" s="257">
        <f>D4+D5+D6+D8</f>
        <v>0</v>
      </c>
      <c r="F9" s="257">
        <f>D9-E9</f>
        <v>0</v>
      </c>
      <c r="G9" s="255">
        <f>SUM(G3:G8)</f>
        <v>0</v>
      </c>
      <c r="H9" s="257">
        <f>G4+G5+G6+G8</f>
        <v>0</v>
      </c>
      <c r="I9" s="257">
        <f>G9-H9</f>
        <v>0</v>
      </c>
      <c r="J9" s="255">
        <f>SUM(J3:J8)</f>
        <v>0</v>
      </c>
      <c r="K9" s="257">
        <f>J4+J5+J6+J8</f>
        <v>0</v>
      </c>
      <c r="L9" s="257">
        <f>J9-K9</f>
        <v>0</v>
      </c>
      <c r="M9" s="255">
        <f>SUM(M3:M8)</f>
        <v>0</v>
      </c>
      <c r="N9" s="257">
        <f>M4+M5+M6+M8</f>
        <v>0</v>
      </c>
      <c r="O9" s="257">
        <f>M9-N9</f>
        <v>0</v>
      </c>
      <c r="P9" s="255">
        <f>SUM(P3:P8)</f>
        <v>0</v>
      </c>
      <c r="Q9" s="257">
        <f>P4+P5+P6+P8</f>
        <v>0</v>
      </c>
      <c r="R9" s="257">
        <f>P9-Q9</f>
        <v>0</v>
      </c>
      <c r="S9" s="255">
        <f>SUM(S3:S8)</f>
        <v>0</v>
      </c>
      <c r="T9" s="257">
        <f>S4+S5+S6+S8</f>
        <v>0</v>
      </c>
      <c r="U9" s="257">
        <f>S9-T9</f>
        <v>0</v>
      </c>
      <c r="V9" s="255">
        <f>SUM(V3:V8)</f>
        <v>0</v>
      </c>
      <c r="W9" s="257">
        <f>V4+V5+V6+V8</f>
        <v>0</v>
      </c>
      <c r="X9" s="258">
        <f>V9-W9</f>
        <v>0</v>
      </c>
      <c r="AA9" s="91"/>
    </row>
    <row r="10" spans="1:33" x14ac:dyDescent="0.25">
      <c r="A10" s="261"/>
      <c r="B10" s="262"/>
      <c r="C10" s="179"/>
      <c r="V10" s="26"/>
      <c r="AA10" s="91"/>
    </row>
    <row r="11" spans="1:33" ht="15.75" thickBot="1" x14ac:dyDescent="0.3">
      <c r="A11" s="201"/>
      <c r="B11" s="202"/>
      <c r="C11" s="203"/>
      <c r="V11" s="26"/>
      <c r="AA11" s="91"/>
    </row>
    <row r="12" spans="1:33" ht="30.75" thickBot="1" x14ac:dyDescent="0.3">
      <c r="A12" s="198" t="s">
        <v>1</v>
      </c>
      <c r="B12" s="199" t="s">
        <v>214</v>
      </c>
      <c r="C12" s="198"/>
      <c r="D12" s="200" t="s">
        <v>216</v>
      </c>
      <c r="E12" s="206"/>
      <c r="F12" s="206"/>
      <c r="G12" s="200" t="s">
        <v>217</v>
      </c>
      <c r="H12" s="206"/>
      <c r="I12" s="206"/>
      <c r="J12" s="200" t="s">
        <v>218</v>
      </c>
      <c r="K12" s="206"/>
      <c r="L12" s="206"/>
      <c r="M12" s="200" t="s">
        <v>231</v>
      </c>
      <c r="N12" s="206"/>
      <c r="O12" s="206"/>
      <c r="P12" s="200" t="s">
        <v>232</v>
      </c>
      <c r="Q12" s="206"/>
      <c r="R12" s="206"/>
      <c r="S12" s="200" t="s">
        <v>233</v>
      </c>
      <c r="T12" s="206"/>
      <c r="U12" s="206"/>
      <c r="V12" s="209" t="s">
        <v>215</v>
      </c>
      <c r="AA12" s="90"/>
      <c r="AF12" s="8"/>
      <c r="AG12" s="26"/>
    </row>
    <row r="13" spans="1:33" x14ac:dyDescent="0.25">
      <c r="A13" s="179" t="s">
        <v>12</v>
      </c>
      <c r="B13" s="163">
        <v>0</v>
      </c>
      <c r="C13" s="179" t="s">
        <v>123</v>
      </c>
      <c r="D13" s="180">
        <v>0</v>
      </c>
      <c r="E13" s="26"/>
      <c r="F13" s="26"/>
      <c r="G13" s="180">
        <v>0</v>
      </c>
      <c r="H13" s="26"/>
      <c r="I13" s="26"/>
      <c r="J13" s="180">
        <v>0</v>
      </c>
      <c r="K13" s="26"/>
      <c r="L13" s="26"/>
      <c r="M13" s="180">
        <v>0</v>
      </c>
      <c r="N13" s="26"/>
      <c r="O13" s="26"/>
      <c r="P13" s="180">
        <v>0</v>
      </c>
      <c r="Q13" s="26"/>
      <c r="R13" s="26"/>
      <c r="S13" s="180">
        <v>0</v>
      </c>
      <c r="T13" s="26"/>
      <c r="U13" s="26"/>
      <c r="V13" s="181">
        <f t="shared" ref="V13:V16" si="2">D13+G13+J13+M13+P13+S13</f>
        <v>0</v>
      </c>
      <c r="W13" s="26"/>
      <c r="X13" s="26"/>
      <c r="Y13" s="26"/>
      <c r="Z13" s="26"/>
      <c r="AA13" s="58"/>
      <c r="AB13" s="26"/>
      <c r="AD13" s="6"/>
      <c r="AE13" s="74"/>
      <c r="AG13" s="26"/>
    </row>
    <row r="14" spans="1:33" x14ac:dyDescent="0.25">
      <c r="A14" s="39" t="s">
        <v>49</v>
      </c>
      <c r="B14" s="163">
        <v>0</v>
      </c>
      <c r="C14" s="39" t="s">
        <v>174</v>
      </c>
      <c r="D14" s="180">
        <v>0</v>
      </c>
      <c r="G14" s="180">
        <v>0</v>
      </c>
      <c r="J14" s="180">
        <v>0</v>
      </c>
      <c r="M14" s="180">
        <v>0</v>
      </c>
      <c r="P14" s="180">
        <v>0</v>
      </c>
      <c r="S14" s="180">
        <v>0</v>
      </c>
      <c r="V14" s="181">
        <f t="shared" si="2"/>
        <v>0</v>
      </c>
      <c r="Z14" s="26"/>
      <c r="AA14" s="58"/>
      <c r="AE14" s="74"/>
      <c r="AF14" s="8"/>
    </row>
    <row r="15" spans="1:33" x14ac:dyDescent="0.25">
      <c r="A15" s="39" t="s">
        <v>181</v>
      </c>
      <c r="B15" s="163">
        <v>0</v>
      </c>
      <c r="C15" s="39" t="s">
        <v>174</v>
      </c>
      <c r="D15" s="180">
        <v>0</v>
      </c>
      <c r="G15" s="180">
        <v>0</v>
      </c>
      <c r="J15" s="180">
        <v>0</v>
      </c>
      <c r="M15" s="180">
        <v>0</v>
      </c>
      <c r="P15" s="180">
        <v>0</v>
      </c>
      <c r="S15" s="180">
        <v>0</v>
      </c>
      <c r="V15" s="181">
        <f t="shared" si="2"/>
        <v>0</v>
      </c>
      <c r="Z15" s="26"/>
      <c r="AA15" s="58"/>
      <c r="AE15" s="74"/>
      <c r="AF15" s="8"/>
      <c r="AG15" s="26"/>
    </row>
    <row r="16" spans="1:33" x14ac:dyDescent="0.25">
      <c r="A16" s="39" t="s">
        <v>48</v>
      </c>
      <c r="B16" s="163">
        <v>0</v>
      </c>
      <c r="C16" s="39" t="s">
        <v>121</v>
      </c>
      <c r="D16" s="180">
        <v>0</v>
      </c>
      <c r="G16" s="180">
        <v>0</v>
      </c>
      <c r="J16" s="180">
        <v>0</v>
      </c>
      <c r="M16" s="180">
        <v>0</v>
      </c>
      <c r="P16" s="180">
        <v>0</v>
      </c>
      <c r="S16" s="180">
        <v>0</v>
      </c>
      <c r="V16" s="181">
        <f t="shared" si="2"/>
        <v>0</v>
      </c>
      <c r="Z16" s="26"/>
      <c r="AA16" s="58"/>
      <c r="AF16" s="8"/>
    </row>
    <row r="17" spans="1:32" ht="15.75" thickBot="1" x14ac:dyDescent="0.3">
      <c r="A17" s="203" t="s">
        <v>50</v>
      </c>
      <c r="B17" s="259">
        <v>0</v>
      </c>
      <c r="C17" s="203" t="s">
        <v>121</v>
      </c>
      <c r="D17" s="217">
        <v>0</v>
      </c>
      <c r="E17" s="246" t="s">
        <v>84</v>
      </c>
      <c r="F17" s="246" t="s">
        <v>85</v>
      </c>
      <c r="G17" s="217">
        <v>0</v>
      </c>
      <c r="H17" s="246" t="s">
        <v>84</v>
      </c>
      <c r="I17" s="246" t="s">
        <v>85</v>
      </c>
      <c r="J17" s="217">
        <v>0</v>
      </c>
      <c r="K17" s="246" t="s">
        <v>84</v>
      </c>
      <c r="L17" s="246" t="s">
        <v>85</v>
      </c>
      <c r="M17" s="217">
        <v>0</v>
      </c>
      <c r="P17" s="217">
        <v>0</v>
      </c>
      <c r="S17" s="217">
        <v>0</v>
      </c>
      <c r="V17" s="220">
        <f t="shared" ref="V17" si="3">D17+G17+J17+M17+P17+S17</f>
        <v>0</v>
      </c>
      <c r="AA17" s="58"/>
    </row>
    <row r="18" spans="1:32" x14ac:dyDescent="0.25">
      <c r="A18" s="247"/>
      <c r="B18" s="251"/>
      <c r="C18" s="249"/>
      <c r="D18" s="260">
        <v>0</v>
      </c>
      <c r="E18" s="250" t="s">
        <v>84</v>
      </c>
      <c r="F18" s="250" t="s">
        <v>85</v>
      </c>
      <c r="G18" s="260">
        <v>0</v>
      </c>
      <c r="H18" s="250" t="s">
        <v>84</v>
      </c>
      <c r="I18" s="250" t="s">
        <v>85</v>
      </c>
      <c r="J18" s="260">
        <v>0</v>
      </c>
      <c r="K18" s="250" t="s">
        <v>84</v>
      </c>
      <c r="L18" s="250" t="s">
        <v>85</v>
      </c>
      <c r="M18" s="260"/>
      <c r="N18" s="250" t="s">
        <v>84</v>
      </c>
      <c r="O18" s="250" t="s">
        <v>85</v>
      </c>
      <c r="P18" s="260"/>
      <c r="Q18" s="250" t="s">
        <v>84</v>
      </c>
      <c r="R18" s="250" t="s">
        <v>85</v>
      </c>
      <c r="S18" s="260"/>
      <c r="T18" s="250" t="s">
        <v>84</v>
      </c>
      <c r="U18" s="250" t="s">
        <v>85</v>
      </c>
      <c r="V18" s="251"/>
      <c r="W18" s="252" t="s">
        <v>84</v>
      </c>
      <c r="X18" s="253" t="s">
        <v>85</v>
      </c>
      <c r="AA18" s="58"/>
    </row>
    <row r="19" spans="1:32" ht="15.75" thickBot="1" x14ac:dyDescent="0.3">
      <c r="A19" s="254" t="s">
        <v>53</v>
      </c>
      <c r="B19" s="255">
        <f>SUM(B13:B18)</f>
        <v>0</v>
      </c>
      <c r="C19" s="256"/>
      <c r="D19" s="255">
        <f>SUM(D13:D18)</f>
        <v>0</v>
      </c>
      <c r="E19" s="257">
        <f>D14+D15+D16+D18</f>
        <v>0</v>
      </c>
      <c r="F19" s="257">
        <f>D19-E19</f>
        <v>0</v>
      </c>
      <c r="G19" s="255">
        <f>SUM(G13:G18)</f>
        <v>0</v>
      </c>
      <c r="H19" s="257">
        <f>G14+G15+G16+G18</f>
        <v>0</v>
      </c>
      <c r="I19" s="257">
        <f>G19-H19</f>
        <v>0</v>
      </c>
      <c r="J19" s="255">
        <f>SUM(J13:J18)</f>
        <v>0</v>
      </c>
      <c r="K19" s="257">
        <f>J14+J15+J16+J18</f>
        <v>0</v>
      </c>
      <c r="L19" s="257">
        <f>J19-K19</f>
        <v>0</v>
      </c>
      <c r="M19" s="255">
        <f>SUM(M13:M18)</f>
        <v>0</v>
      </c>
      <c r="N19" s="257">
        <f>M14+M15+M16+M18</f>
        <v>0</v>
      </c>
      <c r="O19" s="257">
        <f>M19-N19</f>
        <v>0</v>
      </c>
      <c r="P19" s="255">
        <f>SUM(P13:P18)</f>
        <v>0</v>
      </c>
      <c r="Q19" s="257">
        <f>P14+P15+P16+P18</f>
        <v>0</v>
      </c>
      <c r="R19" s="257">
        <f>P19-Q19</f>
        <v>0</v>
      </c>
      <c r="S19" s="255">
        <f>SUM(S13:S18)</f>
        <v>0</v>
      </c>
      <c r="T19" s="257">
        <f>S14+S15+S16+S18</f>
        <v>0</v>
      </c>
      <c r="U19" s="257">
        <f>S19-T19</f>
        <v>0</v>
      </c>
      <c r="V19" s="255">
        <f>SUM(V13:V18)</f>
        <v>0</v>
      </c>
      <c r="W19" s="257">
        <f>V14+V15+V16+V18</f>
        <v>0</v>
      </c>
      <c r="X19" s="258">
        <f>V19-W19</f>
        <v>0</v>
      </c>
      <c r="AA19" s="91"/>
    </row>
    <row r="20" spans="1:32" x14ac:dyDescent="0.25">
      <c r="A20" s="261"/>
      <c r="B20" s="262"/>
      <c r="C20" s="179"/>
      <c r="V20" s="26"/>
      <c r="AA20" s="91"/>
    </row>
    <row r="21" spans="1:32" ht="15.75" thickBot="1" x14ac:dyDescent="0.3">
      <c r="A21" s="203"/>
      <c r="B21" s="204"/>
      <c r="C21" s="203"/>
      <c r="D21"/>
      <c r="G21"/>
      <c r="J21"/>
      <c r="M21"/>
      <c r="P21"/>
      <c r="S21"/>
      <c r="AA21" s="91"/>
    </row>
    <row r="22" spans="1:32" ht="30.75" thickBot="1" x14ac:dyDescent="0.3">
      <c r="A22" s="198" t="s">
        <v>3</v>
      </c>
      <c r="B22" s="199" t="s">
        <v>214</v>
      </c>
      <c r="C22" s="206"/>
      <c r="D22" s="200" t="s">
        <v>216</v>
      </c>
      <c r="E22" s="206"/>
      <c r="F22" s="206"/>
      <c r="G22" s="200" t="s">
        <v>217</v>
      </c>
      <c r="H22" s="206"/>
      <c r="I22" s="206"/>
      <c r="J22" s="200" t="s">
        <v>218</v>
      </c>
      <c r="K22" s="206"/>
      <c r="L22" s="206"/>
      <c r="M22" s="200" t="s">
        <v>231</v>
      </c>
      <c r="N22" s="206"/>
      <c r="O22" s="206"/>
      <c r="P22" s="200" t="s">
        <v>232</v>
      </c>
      <c r="Q22" s="206"/>
      <c r="R22" s="206"/>
      <c r="S22" s="200" t="s">
        <v>233</v>
      </c>
      <c r="T22" s="206"/>
      <c r="U22" s="206"/>
      <c r="V22" s="209" t="s">
        <v>215</v>
      </c>
      <c r="AA22" s="90"/>
    </row>
    <row r="23" spans="1:32" x14ac:dyDescent="0.25">
      <c r="A23" s="39" t="s">
        <v>50</v>
      </c>
      <c r="B23" s="184">
        <v>0</v>
      </c>
      <c r="C23" s="179" t="s">
        <v>30</v>
      </c>
      <c r="D23" s="184">
        <v>0</v>
      </c>
      <c r="G23" s="184">
        <v>0</v>
      </c>
      <c r="J23" s="184">
        <v>0</v>
      </c>
      <c r="M23" s="184">
        <v>0</v>
      </c>
      <c r="P23" s="184">
        <v>300</v>
      </c>
      <c r="S23" s="184">
        <v>0</v>
      </c>
      <c r="V23" s="181">
        <f t="shared" ref="V23:V24" si="4">D23+G23+J23+M23+P23+S23</f>
        <v>300</v>
      </c>
      <c r="AA23" s="58"/>
      <c r="AF23" s="8"/>
    </row>
    <row r="24" spans="1:32" x14ac:dyDescent="0.25">
      <c r="A24" s="39" t="s">
        <v>49</v>
      </c>
      <c r="B24" s="40">
        <v>0</v>
      </c>
      <c r="C24" s="39" t="s">
        <v>30</v>
      </c>
      <c r="D24" s="184">
        <v>0</v>
      </c>
      <c r="G24" s="184">
        <v>0</v>
      </c>
      <c r="J24" s="184">
        <v>0</v>
      </c>
      <c r="M24" s="184">
        <v>0</v>
      </c>
      <c r="P24" s="184">
        <v>150</v>
      </c>
      <c r="S24" s="184">
        <v>78</v>
      </c>
      <c r="V24" s="181">
        <f t="shared" si="4"/>
        <v>228</v>
      </c>
      <c r="AA24" s="58"/>
    </row>
    <row r="25" spans="1:32" ht="15.75" thickBot="1" x14ac:dyDescent="0.3">
      <c r="A25" s="203" t="s">
        <v>181</v>
      </c>
      <c r="B25" s="204">
        <v>0</v>
      </c>
      <c r="C25" s="203" t="s">
        <v>30</v>
      </c>
      <c r="D25" s="219">
        <v>0</v>
      </c>
      <c r="E25" s="246" t="s">
        <v>84</v>
      </c>
      <c r="F25" s="246" t="s">
        <v>85</v>
      </c>
      <c r="G25" s="219">
        <v>0</v>
      </c>
      <c r="H25" s="246" t="s">
        <v>84</v>
      </c>
      <c r="I25" s="246" t="s">
        <v>85</v>
      </c>
      <c r="J25" s="219">
        <v>0</v>
      </c>
      <c r="K25" s="246" t="s">
        <v>84</v>
      </c>
      <c r="L25" s="246" t="s">
        <v>85</v>
      </c>
      <c r="M25" s="219">
        <v>0</v>
      </c>
      <c r="P25" s="219">
        <v>149</v>
      </c>
      <c r="S25" s="219">
        <v>2</v>
      </c>
      <c r="V25" s="220">
        <f t="shared" ref="V25" si="5">D25+G25+J25+M25+P25+S25</f>
        <v>151</v>
      </c>
      <c r="AA25" s="58"/>
    </row>
    <row r="26" spans="1:32" x14ac:dyDescent="0.25">
      <c r="A26" s="247"/>
      <c r="B26" s="248"/>
      <c r="C26" s="249"/>
      <c r="D26" s="248">
        <v>0</v>
      </c>
      <c r="E26" s="250" t="s">
        <v>84</v>
      </c>
      <c r="F26" s="250" t="s">
        <v>85</v>
      </c>
      <c r="G26" s="248">
        <v>0</v>
      </c>
      <c r="H26" s="250" t="s">
        <v>84</v>
      </c>
      <c r="I26" s="250" t="s">
        <v>85</v>
      </c>
      <c r="J26" s="248">
        <v>0</v>
      </c>
      <c r="K26" s="250" t="s">
        <v>84</v>
      </c>
      <c r="L26" s="250" t="s">
        <v>85</v>
      </c>
      <c r="M26" s="248"/>
      <c r="N26" s="250" t="s">
        <v>84</v>
      </c>
      <c r="O26" s="250" t="s">
        <v>85</v>
      </c>
      <c r="P26" s="248"/>
      <c r="Q26" s="250" t="s">
        <v>84</v>
      </c>
      <c r="R26" s="250" t="s">
        <v>85</v>
      </c>
      <c r="S26" s="248"/>
      <c r="T26" s="250" t="s">
        <v>84</v>
      </c>
      <c r="U26" s="250" t="s">
        <v>85</v>
      </c>
      <c r="V26" s="251"/>
      <c r="W26" s="252" t="s">
        <v>84</v>
      </c>
      <c r="X26" s="253" t="s">
        <v>85</v>
      </c>
      <c r="AA26" s="58"/>
    </row>
    <row r="27" spans="1:32" ht="15.75" thickBot="1" x14ac:dyDescent="0.3">
      <c r="A27" s="254" t="s">
        <v>53</v>
      </c>
      <c r="B27" s="255">
        <f>SUM(B23:B26)</f>
        <v>0</v>
      </c>
      <c r="C27" s="256"/>
      <c r="D27" s="255">
        <f>SUM(D23:D26)</f>
        <v>0</v>
      </c>
      <c r="E27" s="257">
        <f>D23+D24+D26</f>
        <v>0</v>
      </c>
      <c r="F27" s="257">
        <f>D27-E27</f>
        <v>0</v>
      </c>
      <c r="G27" s="255">
        <f>SUM(G23:G26)</f>
        <v>0</v>
      </c>
      <c r="H27" s="257">
        <f>G23+G24+G26</f>
        <v>0</v>
      </c>
      <c r="I27" s="257">
        <f>G27-H27</f>
        <v>0</v>
      </c>
      <c r="J27" s="255">
        <f>SUM(J23:J26)</f>
        <v>0</v>
      </c>
      <c r="K27" s="257">
        <f>J23+J24+J26</f>
        <v>0</v>
      </c>
      <c r="L27" s="257">
        <f>J27-K27</f>
        <v>0</v>
      </c>
      <c r="M27" s="255">
        <f>SUM(M23:M26)</f>
        <v>0</v>
      </c>
      <c r="N27" s="257">
        <f>M23+M24+M26</f>
        <v>0</v>
      </c>
      <c r="O27" s="257">
        <f>M27-N27</f>
        <v>0</v>
      </c>
      <c r="P27" s="255">
        <f>SUM(P23:P26)</f>
        <v>599</v>
      </c>
      <c r="Q27" s="257">
        <f>P23+P24+P26</f>
        <v>450</v>
      </c>
      <c r="R27" s="257">
        <f>P27-Q27</f>
        <v>149</v>
      </c>
      <c r="S27" s="255">
        <f>SUM(S23:S26)</f>
        <v>80</v>
      </c>
      <c r="T27" s="257">
        <f>S23+S24+S26</f>
        <v>78</v>
      </c>
      <c r="U27" s="257">
        <f>S27-T27</f>
        <v>2</v>
      </c>
      <c r="V27" s="255">
        <f>SUM(V23:V26)</f>
        <v>679</v>
      </c>
      <c r="W27" s="257">
        <f>V23+V24+V26</f>
        <v>528</v>
      </c>
      <c r="X27" s="258">
        <f>V27-W27</f>
        <v>151</v>
      </c>
      <c r="AA27" s="91"/>
    </row>
    <row r="28" spans="1:32" x14ac:dyDescent="0.25">
      <c r="A28" s="179"/>
      <c r="B28" s="184"/>
      <c r="C28" s="179"/>
      <c r="F28" s="26"/>
      <c r="I28" s="26"/>
      <c r="L28" s="26"/>
      <c r="O28" s="26"/>
      <c r="R28" s="26"/>
      <c r="U28" s="26"/>
      <c r="V28" s="26"/>
      <c r="X28" s="26"/>
      <c r="AA28" s="91"/>
    </row>
    <row r="29" spans="1:32" ht="15.75" thickBot="1" x14ac:dyDescent="0.3">
      <c r="A29" s="203"/>
      <c r="B29" s="204"/>
      <c r="C29" s="203"/>
      <c r="F29" s="26"/>
      <c r="I29" s="26"/>
      <c r="L29" s="26"/>
      <c r="O29" s="26"/>
      <c r="R29" s="26"/>
      <c r="U29" s="26"/>
      <c r="V29" s="26"/>
      <c r="X29" s="26"/>
      <c r="AA29" s="26"/>
    </row>
    <row r="30" spans="1:32" ht="30.75" thickBot="1" x14ac:dyDescent="0.3">
      <c r="A30" s="198" t="s">
        <v>33</v>
      </c>
      <c r="B30" s="199" t="s">
        <v>214</v>
      </c>
      <c r="C30" s="206"/>
      <c r="D30" s="200" t="s">
        <v>216</v>
      </c>
      <c r="E30" s="206"/>
      <c r="F30" s="206"/>
      <c r="G30" s="200" t="s">
        <v>217</v>
      </c>
      <c r="H30" s="206"/>
      <c r="I30" s="206"/>
      <c r="J30" s="200" t="s">
        <v>218</v>
      </c>
      <c r="K30" s="206"/>
      <c r="L30" s="206"/>
      <c r="M30" s="200" t="s">
        <v>231</v>
      </c>
      <c r="N30" s="206"/>
      <c r="O30" s="206"/>
      <c r="P30" s="200" t="s">
        <v>232</v>
      </c>
      <c r="Q30" s="206"/>
      <c r="R30" s="206"/>
      <c r="S30" s="200" t="s">
        <v>233</v>
      </c>
      <c r="T30" s="206"/>
      <c r="U30" s="206"/>
      <c r="V30" s="209" t="s">
        <v>215</v>
      </c>
      <c r="X30" s="26"/>
      <c r="AA30" s="90"/>
      <c r="AF30" s="8"/>
    </row>
    <row r="31" spans="1:32" x14ac:dyDescent="0.25">
      <c r="A31" s="39" t="s">
        <v>12</v>
      </c>
      <c r="B31" s="163">
        <v>0</v>
      </c>
      <c r="C31" s="39" t="s">
        <v>179</v>
      </c>
      <c r="D31" s="180">
        <v>0</v>
      </c>
      <c r="E31" s="26"/>
      <c r="F31" s="26"/>
      <c r="G31" s="180">
        <v>0</v>
      </c>
      <c r="H31" s="26"/>
      <c r="I31" s="26"/>
      <c r="J31" s="180">
        <v>0</v>
      </c>
      <c r="K31" s="26"/>
      <c r="L31" s="26"/>
      <c r="M31" s="180">
        <v>0</v>
      </c>
      <c r="N31" s="26"/>
      <c r="O31" s="26"/>
      <c r="P31" s="180">
        <v>3</v>
      </c>
      <c r="Q31" s="26"/>
      <c r="R31" s="26"/>
      <c r="S31" s="180">
        <v>0</v>
      </c>
      <c r="T31" s="26"/>
      <c r="U31" s="26"/>
      <c r="V31" s="181">
        <f t="shared" ref="V31:V34" si="6">D31+G31+J31+M31+P31+S31</f>
        <v>3</v>
      </c>
      <c r="W31" s="26"/>
      <c r="X31" s="26"/>
      <c r="Y31" s="26"/>
      <c r="Z31" s="74"/>
      <c r="AA31" s="58"/>
      <c r="AB31" s="26"/>
      <c r="AD31" s="6"/>
    </row>
    <row r="32" spans="1:32" x14ac:dyDescent="0.25">
      <c r="A32" s="39" t="s">
        <v>9</v>
      </c>
      <c r="B32" s="163">
        <v>0</v>
      </c>
      <c r="C32" s="39" t="s">
        <v>179</v>
      </c>
      <c r="D32" s="180">
        <v>0</v>
      </c>
      <c r="E32" s="26"/>
      <c r="F32" s="26"/>
      <c r="G32" s="180">
        <v>0</v>
      </c>
      <c r="H32" s="26"/>
      <c r="I32" s="26"/>
      <c r="J32" s="180">
        <v>0</v>
      </c>
      <c r="K32" s="26"/>
      <c r="L32" s="26"/>
      <c r="M32" s="180">
        <v>0</v>
      </c>
      <c r="N32" s="26"/>
      <c r="O32" s="26"/>
      <c r="P32" s="180">
        <v>47</v>
      </c>
      <c r="Q32" s="26"/>
      <c r="R32" s="26"/>
      <c r="S32" s="180">
        <v>41</v>
      </c>
      <c r="T32" s="26"/>
      <c r="U32" s="26"/>
      <c r="V32" s="181">
        <f t="shared" si="6"/>
        <v>88</v>
      </c>
      <c r="W32" s="26"/>
      <c r="X32" s="26"/>
      <c r="Y32" s="26"/>
      <c r="AA32" s="58"/>
      <c r="AB32" s="26"/>
      <c r="AD32" s="6"/>
      <c r="AF32" s="8"/>
    </row>
    <row r="33" spans="1:33" x14ac:dyDescent="0.25">
      <c r="A33" s="39" t="s">
        <v>181</v>
      </c>
      <c r="B33" s="163">
        <v>0</v>
      </c>
      <c r="C33" s="39" t="s">
        <v>179</v>
      </c>
      <c r="D33" s="163">
        <v>0</v>
      </c>
      <c r="G33" s="180">
        <v>0</v>
      </c>
      <c r="J33" s="180">
        <v>0</v>
      </c>
      <c r="M33" s="180">
        <v>0</v>
      </c>
      <c r="P33" s="180">
        <v>0</v>
      </c>
      <c r="S33" s="180">
        <v>0</v>
      </c>
      <c r="V33" s="181">
        <f t="shared" si="6"/>
        <v>0</v>
      </c>
      <c r="Z33" s="26"/>
      <c r="AA33" s="58"/>
      <c r="AF33" s="8"/>
      <c r="AG33" s="26"/>
    </row>
    <row r="34" spans="1:33" x14ac:dyDescent="0.25">
      <c r="A34" s="39" t="s">
        <v>48</v>
      </c>
      <c r="B34" s="163">
        <v>0</v>
      </c>
      <c r="C34" s="39" t="s">
        <v>179</v>
      </c>
      <c r="D34" s="163">
        <v>0</v>
      </c>
      <c r="G34" s="180">
        <v>0</v>
      </c>
      <c r="J34" s="180">
        <v>0</v>
      </c>
      <c r="M34" s="180">
        <v>0</v>
      </c>
      <c r="P34" s="180">
        <v>0</v>
      </c>
      <c r="S34" s="180">
        <v>0</v>
      </c>
      <c r="V34" s="181">
        <f t="shared" si="6"/>
        <v>0</v>
      </c>
      <c r="Z34" s="26"/>
      <c r="AA34" s="58"/>
      <c r="AF34" s="8"/>
    </row>
    <row r="35" spans="1:33" ht="15.75" thickBot="1" x14ac:dyDescent="0.3">
      <c r="A35" s="203" t="s">
        <v>50</v>
      </c>
      <c r="B35" s="259">
        <v>0</v>
      </c>
      <c r="C35" s="203" t="s">
        <v>179</v>
      </c>
      <c r="D35" s="217">
        <v>0</v>
      </c>
      <c r="E35" s="246" t="s">
        <v>84</v>
      </c>
      <c r="F35" s="246" t="s">
        <v>85</v>
      </c>
      <c r="G35" s="217">
        <v>0</v>
      </c>
      <c r="H35" s="246" t="s">
        <v>84</v>
      </c>
      <c r="I35" s="246" t="s">
        <v>85</v>
      </c>
      <c r="J35" s="217">
        <v>0</v>
      </c>
      <c r="K35" s="246" t="s">
        <v>84</v>
      </c>
      <c r="L35" s="246" t="s">
        <v>85</v>
      </c>
      <c r="M35" s="217">
        <v>0</v>
      </c>
      <c r="P35" s="217">
        <v>0</v>
      </c>
      <c r="S35" s="217">
        <v>0</v>
      </c>
      <c r="V35" s="220">
        <f t="shared" ref="V35" si="7">D35+G35+J35+M35+P35+S35</f>
        <v>0</v>
      </c>
      <c r="AA35" s="58"/>
    </row>
    <row r="36" spans="1:33" x14ac:dyDescent="0.25">
      <c r="A36" s="247"/>
      <c r="B36" s="251"/>
      <c r="C36" s="249"/>
      <c r="D36" s="260">
        <v>0</v>
      </c>
      <c r="E36" s="250" t="s">
        <v>84</v>
      </c>
      <c r="F36" s="250" t="s">
        <v>85</v>
      </c>
      <c r="G36" s="260">
        <v>0</v>
      </c>
      <c r="H36" s="250" t="s">
        <v>84</v>
      </c>
      <c r="I36" s="250" t="s">
        <v>85</v>
      </c>
      <c r="J36" s="260">
        <v>0</v>
      </c>
      <c r="K36" s="250" t="s">
        <v>84</v>
      </c>
      <c r="L36" s="250" t="s">
        <v>85</v>
      </c>
      <c r="M36" s="260"/>
      <c r="N36" s="250" t="s">
        <v>84</v>
      </c>
      <c r="O36" s="250" t="s">
        <v>85</v>
      </c>
      <c r="P36" s="260"/>
      <c r="Q36" s="250" t="s">
        <v>84</v>
      </c>
      <c r="R36" s="250" t="s">
        <v>85</v>
      </c>
      <c r="S36" s="260"/>
      <c r="T36" s="250" t="s">
        <v>84</v>
      </c>
      <c r="U36" s="250" t="s">
        <v>85</v>
      </c>
      <c r="V36" s="251"/>
      <c r="W36" s="252" t="s">
        <v>84</v>
      </c>
      <c r="X36" s="253" t="s">
        <v>85</v>
      </c>
      <c r="AA36" s="58"/>
    </row>
    <row r="37" spans="1:33" ht="15.75" thickBot="1" x14ac:dyDescent="0.3">
      <c r="A37" s="254" t="s">
        <v>53</v>
      </c>
      <c r="B37" s="255">
        <f>SUM(B31:B36)</f>
        <v>0</v>
      </c>
      <c r="C37" s="256"/>
      <c r="D37" s="255">
        <f>SUM(D31:D36)</f>
        <v>0</v>
      </c>
      <c r="E37" s="257">
        <f>D32+D33+D34+D36</f>
        <v>0</v>
      </c>
      <c r="F37" s="257">
        <f>D37-E37</f>
        <v>0</v>
      </c>
      <c r="G37" s="255">
        <f>SUM(G31:G36)</f>
        <v>0</v>
      </c>
      <c r="H37" s="257">
        <f>G32+G33+G34+G36</f>
        <v>0</v>
      </c>
      <c r="I37" s="257">
        <f>G37-H37</f>
        <v>0</v>
      </c>
      <c r="J37" s="255">
        <f>SUM(J31:J36)</f>
        <v>0</v>
      </c>
      <c r="K37" s="257">
        <f>J32+J33+J34+J36</f>
        <v>0</v>
      </c>
      <c r="L37" s="257">
        <f>J37-K37</f>
        <v>0</v>
      </c>
      <c r="M37" s="255">
        <f>SUM(M31:M36)</f>
        <v>0</v>
      </c>
      <c r="N37" s="257">
        <f>M32+M33+M34+M36</f>
        <v>0</v>
      </c>
      <c r="O37" s="257">
        <f>M37-N37</f>
        <v>0</v>
      </c>
      <c r="P37" s="255">
        <f>SUM(P31:P36)</f>
        <v>50</v>
      </c>
      <c r="Q37" s="257">
        <f>P32+P33+P34+P36</f>
        <v>47</v>
      </c>
      <c r="R37" s="257">
        <f>P37-Q37</f>
        <v>3</v>
      </c>
      <c r="S37" s="255">
        <f>SUM(S31:S36)</f>
        <v>41</v>
      </c>
      <c r="T37" s="257">
        <f>S32+S33+S34+S36</f>
        <v>41</v>
      </c>
      <c r="U37" s="257">
        <f>S37-T37</f>
        <v>0</v>
      </c>
      <c r="V37" s="255">
        <f>SUM(V31:V36)</f>
        <v>91</v>
      </c>
      <c r="W37" s="257">
        <f>V32+V33+V34+V36</f>
        <v>88</v>
      </c>
      <c r="X37" s="258">
        <f>V37-W37</f>
        <v>3</v>
      </c>
      <c r="AA37" s="91"/>
    </row>
    <row r="38" spans="1:33" x14ac:dyDescent="0.25">
      <c r="A38" s="179"/>
      <c r="B38" s="184"/>
      <c r="C38" s="179"/>
      <c r="V38" s="26"/>
      <c r="AA38" s="91"/>
    </row>
    <row r="39" spans="1:33" ht="15.75" thickBot="1" x14ac:dyDescent="0.3">
      <c r="A39" s="203"/>
      <c r="B39" s="204"/>
      <c r="C39" s="203"/>
      <c r="V39" s="26"/>
      <c r="AA39" s="26"/>
    </row>
    <row r="40" spans="1:33" ht="30.75" thickBot="1" x14ac:dyDescent="0.3">
      <c r="A40" s="198" t="s">
        <v>2</v>
      </c>
      <c r="B40" s="199" t="s">
        <v>214</v>
      </c>
      <c r="C40" s="206"/>
      <c r="D40" s="200" t="s">
        <v>216</v>
      </c>
      <c r="E40" s="206"/>
      <c r="F40" s="206"/>
      <c r="G40" s="200" t="s">
        <v>217</v>
      </c>
      <c r="H40" s="206"/>
      <c r="I40" s="206"/>
      <c r="J40" s="200" t="s">
        <v>218</v>
      </c>
      <c r="K40" s="206"/>
      <c r="L40" s="206"/>
      <c r="M40" s="200" t="s">
        <v>231</v>
      </c>
      <c r="N40" s="206"/>
      <c r="O40" s="206"/>
      <c r="P40" s="200" t="s">
        <v>232</v>
      </c>
      <c r="Q40" s="206"/>
      <c r="R40" s="206"/>
      <c r="S40" s="200" t="s">
        <v>233</v>
      </c>
      <c r="T40" s="206"/>
      <c r="U40" s="206"/>
      <c r="V40" s="209" t="s">
        <v>215</v>
      </c>
      <c r="X40" s="26"/>
      <c r="Z40" s="26"/>
      <c r="AA40" s="26"/>
      <c r="AB40" s="74"/>
    </row>
    <row r="41" spans="1:33" x14ac:dyDescent="0.25">
      <c r="A41" s="179" t="s">
        <v>12</v>
      </c>
      <c r="B41" s="163">
        <v>0</v>
      </c>
      <c r="C41" s="179" t="s">
        <v>180</v>
      </c>
      <c r="D41" s="184">
        <v>0</v>
      </c>
      <c r="E41" s="26"/>
      <c r="F41" s="26"/>
      <c r="G41" s="184">
        <v>0</v>
      </c>
      <c r="H41" s="26"/>
      <c r="I41" s="26"/>
      <c r="J41" s="184">
        <v>0</v>
      </c>
      <c r="K41" s="26"/>
      <c r="L41" s="26"/>
      <c r="M41" s="184">
        <v>0</v>
      </c>
      <c r="N41" s="26"/>
      <c r="O41" s="26"/>
      <c r="P41" s="184">
        <v>0</v>
      </c>
      <c r="Q41" s="26"/>
      <c r="R41" s="26"/>
      <c r="S41" s="184">
        <v>0</v>
      </c>
      <c r="T41" s="26"/>
      <c r="U41" s="26"/>
      <c r="V41" s="181">
        <f t="shared" ref="V41:V49" si="8">D41+G41+J41+M41+P41+S41</f>
        <v>0</v>
      </c>
      <c r="W41" s="26"/>
      <c r="X41" s="26"/>
      <c r="Y41" s="26"/>
      <c r="Z41" s="26"/>
      <c r="AA41" s="58"/>
      <c r="AB41" s="74"/>
      <c r="AD41" s="6"/>
      <c r="AG41" s="26"/>
    </row>
    <row r="42" spans="1:33" x14ac:dyDescent="0.25">
      <c r="A42" s="179" t="s">
        <v>12</v>
      </c>
      <c r="B42" s="163">
        <v>0</v>
      </c>
      <c r="C42" s="179" t="s">
        <v>197</v>
      </c>
      <c r="D42" s="184">
        <v>0</v>
      </c>
      <c r="E42" s="26"/>
      <c r="F42" s="26"/>
      <c r="G42" s="184">
        <v>0</v>
      </c>
      <c r="H42" s="26"/>
      <c r="I42" s="26"/>
      <c r="J42" s="184">
        <v>0</v>
      </c>
      <c r="K42" s="26"/>
      <c r="L42" s="26"/>
      <c r="M42" s="184">
        <v>0</v>
      </c>
      <c r="N42" s="26"/>
      <c r="O42" s="26"/>
      <c r="P42" s="184">
        <v>0</v>
      </c>
      <c r="Q42" s="26"/>
      <c r="R42" s="26"/>
      <c r="S42" s="184">
        <v>0</v>
      </c>
      <c r="T42" s="26"/>
      <c r="U42" s="26"/>
      <c r="V42" s="181">
        <f t="shared" si="8"/>
        <v>0</v>
      </c>
      <c r="W42" s="26"/>
      <c r="X42" s="26"/>
      <c r="Y42" s="26"/>
      <c r="Z42" s="26"/>
      <c r="AA42" s="58"/>
      <c r="AB42" s="74"/>
      <c r="AD42" s="6"/>
      <c r="AG42" s="26"/>
    </row>
    <row r="43" spans="1:33" x14ac:dyDescent="0.25">
      <c r="A43" s="179" t="s">
        <v>12</v>
      </c>
      <c r="B43" s="163">
        <v>0</v>
      </c>
      <c r="C43" s="179" t="s">
        <v>198</v>
      </c>
      <c r="D43" s="184">
        <v>0</v>
      </c>
      <c r="E43" s="26"/>
      <c r="F43" s="26"/>
      <c r="G43" s="184">
        <v>0</v>
      </c>
      <c r="H43" s="26"/>
      <c r="I43" s="26"/>
      <c r="J43" s="184">
        <v>0</v>
      </c>
      <c r="K43" s="26"/>
      <c r="L43" s="26"/>
      <c r="M43" s="184">
        <v>0</v>
      </c>
      <c r="N43" s="26"/>
      <c r="O43" s="26"/>
      <c r="P43" s="184">
        <v>0</v>
      </c>
      <c r="Q43" s="26"/>
      <c r="R43" s="26"/>
      <c r="S43" s="184">
        <v>0</v>
      </c>
      <c r="T43" s="26"/>
      <c r="U43" s="26"/>
      <c r="V43" s="181">
        <f t="shared" si="8"/>
        <v>0</v>
      </c>
      <c r="W43" s="26"/>
      <c r="X43" s="26"/>
      <c r="Y43" s="26"/>
      <c r="Z43" s="26"/>
      <c r="AA43" s="58"/>
      <c r="AB43" s="74"/>
      <c r="AD43" s="6"/>
      <c r="AG43" s="26"/>
    </row>
    <row r="44" spans="1:33" x14ac:dyDescent="0.25">
      <c r="A44" s="179" t="s">
        <v>12</v>
      </c>
      <c r="B44" s="163">
        <v>0</v>
      </c>
      <c r="C44" s="179" t="s">
        <v>206</v>
      </c>
      <c r="D44" s="184">
        <v>0</v>
      </c>
      <c r="E44" s="26"/>
      <c r="F44" s="26"/>
      <c r="G44" s="184">
        <v>0</v>
      </c>
      <c r="H44" s="26"/>
      <c r="I44" s="26"/>
      <c r="J44" s="184">
        <v>0</v>
      </c>
      <c r="K44" s="26"/>
      <c r="L44" s="26"/>
      <c r="M44" s="184">
        <v>0</v>
      </c>
      <c r="N44" s="26"/>
      <c r="O44" s="26"/>
      <c r="P44" s="184">
        <v>0</v>
      </c>
      <c r="Q44" s="26"/>
      <c r="R44" s="26"/>
      <c r="S44" s="184">
        <v>0</v>
      </c>
      <c r="T44" s="26"/>
      <c r="U44" s="26"/>
      <c r="V44" s="181">
        <f t="shared" si="8"/>
        <v>0</v>
      </c>
      <c r="W44" s="26"/>
      <c r="X44" s="26"/>
      <c r="Y44" s="26"/>
      <c r="Z44" s="26"/>
      <c r="AA44" s="58"/>
      <c r="AB44" s="74"/>
      <c r="AD44" s="6"/>
      <c r="AG44" s="26"/>
    </row>
    <row r="45" spans="1:33" x14ac:dyDescent="0.25">
      <c r="A45" s="39" t="s">
        <v>49</v>
      </c>
      <c r="B45" s="163">
        <v>0</v>
      </c>
      <c r="C45" s="39" t="s">
        <v>180</v>
      </c>
      <c r="D45" s="184">
        <v>0</v>
      </c>
      <c r="E45" s="26"/>
      <c r="G45" s="184">
        <v>0</v>
      </c>
      <c r="H45" s="26"/>
      <c r="J45" s="184">
        <v>0</v>
      </c>
      <c r="K45" s="26"/>
      <c r="M45" s="184">
        <v>0</v>
      </c>
      <c r="N45" s="26"/>
      <c r="P45" s="184">
        <v>0</v>
      </c>
      <c r="Q45" s="26"/>
      <c r="S45" s="184">
        <v>0</v>
      </c>
      <c r="T45" s="26"/>
      <c r="V45" s="181">
        <f t="shared" si="8"/>
        <v>0</v>
      </c>
      <c r="W45" s="26"/>
      <c r="Z45" s="26"/>
      <c r="AA45" s="26"/>
      <c r="AB45" s="74"/>
    </row>
    <row r="46" spans="1:33" x14ac:dyDescent="0.25">
      <c r="A46" s="39" t="s">
        <v>49</v>
      </c>
      <c r="B46" s="163">
        <v>0</v>
      </c>
      <c r="C46" s="39" t="s">
        <v>206</v>
      </c>
      <c r="D46" s="184">
        <v>0</v>
      </c>
      <c r="E46" s="26"/>
      <c r="G46" s="184">
        <v>0</v>
      </c>
      <c r="H46" s="26"/>
      <c r="J46" s="184">
        <v>0</v>
      </c>
      <c r="K46" s="26"/>
      <c r="M46" s="184">
        <v>0</v>
      </c>
      <c r="N46" s="26"/>
      <c r="P46" s="184">
        <v>0</v>
      </c>
      <c r="Q46" s="26"/>
      <c r="S46" s="184">
        <v>0</v>
      </c>
      <c r="T46" s="26"/>
      <c r="V46" s="181">
        <f t="shared" si="8"/>
        <v>0</v>
      </c>
      <c r="W46" s="26"/>
      <c r="Z46" s="26"/>
      <c r="AA46" s="26"/>
      <c r="AB46" s="74"/>
    </row>
    <row r="47" spans="1:33" x14ac:dyDescent="0.25">
      <c r="A47" s="39" t="s">
        <v>49</v>
      </c>
      <c r="B47" s="163">
        <v>0</v>
      </c>
      <c r="C47" s="39" t="s">
        <v>197</v>
      </c>
      <c r="D47" s="184">
        <v>0</v>
      </c>
      <c r="E47" s="26"/>
      <c r="G47" s="184">
        <v>0</v>
      </c>
      <c r="H47" s="26"/>
      <c r="J47" s="184">
        <v>0</v>
      </c>
      <c r="K47" s="26"/>
      <c r="M47" s="184">
        <v>0</v>
      </c>
      <c r="N47" s="26"/>
      <c r="P47" s="184">
        <v>0</v>
      </c>
      <c r="Q47" s="26"/>
      <c r="S47" s="184">
        <v>0</v>
      </c>
      <c r="T47" s="26"/>
      <c r="V47" s="181">
        <f t="shared" si="8"/>
        <v>0</v>
      </c>
      <c r="W47" s="26"/>
      <c r="Z47" s="26"/>
      <c r="AA47" s="26"/>
      <c r="AB47" s="74"/>
    </row>
    <row r="48" spans="1:33" x14ac:dyDescent="0.25">
      <c r="A48" s="39" t="s">
        <v>49</v>
      </c>
      <c r="B48" s="163">
        <v>0</v>
      </c>
      <c r="C48" s="39" t="s">
        <v>71</v>
      </c>
      <c r="D48" s="184">
        <v>0</v>
      </c>
      <c r="E48" s="26"/>
      <c r="G48" s="184">
        <v>0</v>
      </c>
      <c r="H48" s="26"/>
      <c r="J48" s="184">
        <v>0</v>
      </c>
      <c r="K48" s="26"/>
      <c r="M48" s="184">
        <v>0</v>
      </c>
      <c r="N48" s="26"/>
      <c r="P48" s="184">
        <v>0</v>
      </c>
      <c r="Q48" s="26"/>
      <c r="S48" s="184">
        <v>0</v>
      </c>
      <c r="T48" s="26"/>
      <c r="V48" s="181">
        <f t="shared" si="8"/>
        <v>0</v>
      </c>
      <c r="W48" s="26"/>
      <c r="Z48" s="26"/>
      <c r="AA48" s="26"/>
      <c r="AB48" s="74"/>
    </row>
    <row r="49" spans="1:32" ht="15.75" thickBot="1" x14ac:dyDescent="0.3">
      <c r="A49" s="203" t="s">
        <v>181</v>
      </c>
      <c r="B49" s="259">
        <v>0</v>
      </c>
      <c r="C49" s="203" t="s">
        <v>180</v>
      </c>
      <c r="D49" s="219">
        <v>0</v>
      </c>
      <c r="E49" s="26"/>
      <c r="G49" s="219">
        <v>0</v>
      </c>
      <c r="H49" s="26"/>
      <c r="J49" s="219">
        <v>0</v>
      </c>
      <c r="K49" s="26"/>
      <c r="M49" s="219">
        <v>0</v>
      </c>
      <c r="N49" s="26"/>
      <c r="P49" s="219">
        <v>0</v>
      </c>
      <c r="Q49" s="26"/>
      <c r="S49" s="219">
        <v>0</v>
      </c>
      <c r="T49" s="26"/>
      <c r="V49" s="220">
        <f t="shared" si="8"/>
        <v>0</v>
      </c>
      <c r="W49" s="26"/>
      <c r="Z49" s="26"/>
      <c r="AA49" s="26"/>
      <c r="AB49" s="74"/>
    </row>
    <row r="50" spans="1:32" x14ac:dyDescent="0.25">
      <c r="A50" s="247"/>
      <c r="B50" s="251"/>
      <c r="C50" s="249"/>
      <c r="D50" s="248">
        <v>0</v>
      </c>
      <c r="E50" s="250" t="s">
        <v>84</v>
      </c>
      <c r="F50" s="250" t="s">
        <v>85</v>
      </c>
      <c r="G50" s="248">
        <v>0</v>
      </c>
      <c r="H50" s="250" t="s">
        <v>84</v>
      </c>
      <c r="I50" s="250" t="s">
        <v>85</v>
      </c>
      <c r="J50" s="248">
        <v>0</v>
      </c>
      <c r="K50" s="250" t="s">
        <v>84</v>
      </c>
      <c r="L50" s="250" t="s">
        <v>85</v>
      </c>
      <c r="M50" s="248"/>
      <c r="N50" s="250" t="s">
        <v>84</v>
      </c>
      <c r="O50" s="250" t="s">
        <v>85</v>
      </c>
      <c r="P50" s="248"/>
      <c r="Q50" s="250" t="s">
        <v>84</v>
      </c>
      <c r="R50" s="250" t="s">
        <v>85</v>
      </c>
      <c r="S50" s="248"/>
      <c r="T50" s="250" t="s">
        <v>84</v>
      </c>
      <c r="U50" s="250" t="s">
        <v>85</v>
      </c>
      <c r="V50" s="251"/>
      <c r="W50" s="252" t="s">
        <v>84</v>
      </c>
      <c r="X50" s="253" t="s">
        <v>85</v>
      </c>
      <c r="Z50" s="26"/>
      <c r="AA50" s="26"/>
      <c r="AD50" s="6"/>
      <c r="AF50" s="8"/>
    </row>
    <row r="51" spans="1:32" ht="15.75" thickBot="1" x14ac:dyDescent="0.3">
      <c r="A51" s="254" t="s">
        <v>53</v>
      </c>
      <c r="B51" s="255">
        <f>SUM(B41:B50)</f>
        <v>0</v>
      </c>
      <c r="C51" s="256"/>
      <c r="D51" s="255">
        <f>SUM(D41:D50)</f>
        <v>0</v>
      </c>
      <c r="E51" s="257">
        <f>D45+D46+D47+D48+D49+D50</f>
        <v>0</v>
      </c>
      <c r="F51" s="257">
        <f>D51-E51</f>
        <v>0</v>
      </c>
      <c r="G51" s="255">
        <f>SUM(G41:G50)</f>
        <v>0</v>
      </c>
      <c r="H51" s="257">
        <f>G45+G46+G47+G48+G49+G50</f>
        <v>0</v>
      </c>
      <c r="I51" s="257">
        <f>G51-H51</f>
        <v>0</v>
      </c>
      <c r="J51" s="255">
        <f>SUM(J41:J50)</f>
        <v>0</v>
      </c>
      <c r="K51" s="257">
        <f>J45+J46+J47+J48+J49+J50</f>
        <v>0</v>
      </c>
      <c r="L51" s="257">
        <f>J51-K51</f>
        <v>0</v>
      </c>
      <c r="M51" s="255">
        <f>SUM(M41:M50)</f>
        <v>0</v>
      </c>
      <c r="N51" s="257">
        <f>M45+M46+M47+M48+M49+M50</f>
        <v>0</v>
      </c>
      <c r="O51" s="257">
        <f>M51-N51</f>
        <v>0</v>
      </c>
      <c r="P51" s="255">
        <f>SUM(P41:P50)</f>
        <v>0</v>
      </c>
      <c r="Q51" s="257">
        <f>P45+P46+P47+P48+P49+P50</f>
        <v>0</v>
      </c>
      <c r="R51" s="257">
        <f>P51-Q51</f>
        <v>0</v>
      </c>
      <c r="S51" s="255">
        <f>SUM(S41:S50)</f>
        <v>0</v>
      </c>
      <c r="T51" s="257">
        <f>S45+S46+S47+S48+S49+S50</f>
        <v>0</v>
      </c>
      <c r="U51" s="257">
        <f>S51-T51</f>
        <v>0</v>
      </c>
      <c r="V51" s="255">
        <f>SUM(V41:V50)</f>
        <v>0</v>
      </c>
      <c r="W51" s="257">
        <f>V45+V46+V47+V48+V49+V50</f>
        <v>0</v>
      </c>
      <c r="X51" s="258">
        <f>V51-W51</f>
        <v>0</v>
      </c>
      <c r="AA51" s="26"/>
    </row>
    <row r="52" spans="1:32" x14ac:dyDescent="0.25">
      <c r="A52" s="179"/>
      <c r="B52" s="184"/>
      <c r="C52" s="179"/>
      <c r="E52" s="183"/>
      <c r="F52" s="183"/>
      <c r="H52" s="183"/>
      <c r="I52" s="183"/>
      <c r="K52" s="183"/>
      <c r="L52" s="183"/>
      <c r="N52" s="183"/>
      <c r="O52" s="183"/>
      <c r="Q52" s="183"/>
      <c r="R52" s="183"/>
      <c r="T52" s="183"/>
      <c r="U52" s="183"/>
      <c r="V52" s="26"/>
      <c r="W52" s="183"/>
      <c r="X52" s="183"/>
      <c r="Z52" s="167"/>
      <c r="AA52" s="26"/>
    </row>
    <row r="53" spans="1:32" ht="15.75" thickBot="1" x14ac:dyDescent="0.3">
      <c r="A53" s="203"/>
      <c r="B53" s="204"/>
      <c r="C53" s="203"/>
      <c r="E53" s="26"/>
      <c r="F53" s="26"/>
      <c r="H53" s="26"/>
      <c r="I53" s="26"/>
      <c r="K53" s="26"/>
      <c r="L53" s="26"/>
      <c r="N53" s="26"/>
      <c r="O53" s="26"/>
      <c r="Q53" s="26"/>
      <c r="R53" s="26"/>
      <c r="T53" s="26"/>
      <c r="U53" s="26"/>
      <c r="V53" s="26"/>
      <c r="W53" s="26"/>
      <c r="X53" s="26"/>
      <c r="AA53" s="59"/>
    </row>
    <row r="54" spans="1:32" ht="30.75" thickBot="1" x14ac:dyDescent="0.3">
      <c r="A54" s="198" t="s">
        <v>82</v>
      </c>
      <c r="B54" s="199" t="s">
        <v>214</v>
      </c>
      <c r="C54" s="206"/>
      <c r="D54" s="200" t="s">
        <v>216</v>
      </c>
      <c r="E54" s="206"/>
      <c r="F54" s="206"/>
      <c r="G54" s="200" t="s">
        <v>217</v>
      </c>
      <c r="H54" s="206"/>
      <c r="I54" s="206"/>
      <c r="J54" s="200" t="s">
        <v>218</v>
      </c>
      <c r="K54" s="206"/>
      <c r="L54" s="206"/>
      <c r="M54" s="200" t="s">
        <v>231</v>
      </c>
      <c r="N54" s="206"/>
      <c r="O54" s="206"/>
      <c r="P54" s="200" t="s">
        <v>232</v>
      </c>
      <c r="Q54" s="206"/>
      <c r="R54" s="206"/>
      <c r="S54" s="200" t="s">
        <v>233</v>
      </c>
      <c r="T54" s="206"/>
      <c r="U54" s="206"/>
      <c r="V54" s="209" t="s">
        <v>215</v>
      </c>
      <c r="W54" s="26"/>
      <c r="X54" s="26"/>
      <c r="Y54" s="26"/>
      <c r="Z54" s="74"/>
      <c r="AA54" s="59"/>
    </row>
    <row r="55" spans="1:32" x14ac:dyDescent="0.25">
      <c r="A55" s="39" t="s">
        <v>12</v>
      </c>
      <c r="B55" s="163">
        <v>0</v>
      </c>
      <c r="C55" s="39" t="s">
        <v>32</v>
      </c>
      <c r="D55" s="184">
        <v>0</v>
      </c>
      <c r="E55" s="26"/>
      <c r="F55" s="26"/>
      <c r="G55" s="184">
        <v>0</v>
      </c>
      <c r="H55" s="26"/>
      <c r="I55" s="26"/>
      <c r="J55" s="184">
        <v>0</v>
      </c>
      <c r="K55" s="26"/>
      <c r="L55" s="26"/>
      <c r="M55" s="184">
        <v>0</v>
      </c>
      <c r="N55" s="26"/>
      <c r="O55" s="26"/>
      <c r="P55" s="184">
        <v>0</v>
      </c>
      <c r="Q55" s="26"/>
      <c r="R55" s="26"/>
      <c r="S55" s="184">
        <v>0</v>
      </c>
      <c r="T55" s="26"/>
      <c r="U55" s="26"/>
      <c r="V55" s="181">
        <f t="shared" ref="V55:V61" si="9">D55+G55+J55+M55+P55+S55</f>
        <v>0</v>
      </c>
      <c r="W55" s="26"/>
      <c r="X55" s="26"/>
      <c r="Y55" s="26"/>
      <c r="Z55" s="74"/>
      <c r="AA55" s="59"/>
      <c r="AC55" s="26"/>
    </row>
    <row r="56" spans="1:32" x14ac:dyDescent="0.25">
      <c r="A56" s="39" t="s">
        <v>184</v>
      </c>
      <c r="B56" s="163">
        <v>0</v>
      </c>
      <c r="C56" s="39" t="s">
        <v>173</v>
      </c>
      <c r="D56" s="184">
        <v>0</v>
      </c>
      <c r="E56" s="26"/>
      <c r="G56" s="184">
        <v>0</v>
      </c>
      <c r="H56" s="26"/>
      <c r="J56" s="184">
        <v>0</v>
      </c>
      <c r="K56" s="26"/>
      <c r="M56" s="184">
        <v>0</v>
      </c>
      <c r="N56" s="26"/>
      <c r="P56" s="184">
        <v>27</v>
      </c>
      <c r="Q56" s="26"/>
      <c r="S56" s="184">
        <v>62</v>
      </c>
      <c r="T56" s="26"/>
      <c r="V56" s="181">
        <f t="shared" si="9"/>
        <v>89</v>
      </c>
      <c r="W56" s="26"/>
      <c r="Y56" s="26"/>
      <c r="Z56" s="74"/>
      <c r="AA56" s="59"/>
      <c r="AD56" s="6"/>
      <c r="AF56" s="8"/>
    </row>
    <row r="57" spans="1:32" x14ac:dyDescent="0.25">
      <c r="A57" s="39" t="s">
        <v>243</v>
      </c>
      <c r="B57" s="163">
        <v>0</v>
      </c>
      <c r="C57" s="39" t="s">
        <v>173</v>
      </c>
      <c r="D57" s="184">
        <v>0</v>
      </c>
      <c r="E57" s="26"/>
      <c r="G57" s="184">
        <v>0</v>
      </c>
      <c r="H57" s="26"/>
      <c r="J57" s="184">
        <v>0</v>
      </c>
      <c r="K57" s="26"/>
      <c r="M57" s="184">
        <v>0</v>
      </c>
      <c r="N57" s="26"/>
      <c r="P57" s="184">
        <v>6</v>
      </c>
      <c r="Q57" s="26"/>
      <c r="S57" s="184">
        <v>40</v>
      </c>
      <c r="T57" s="26"/>
      <c r="V57" s="181">
        <f t="shared" ref="V57" si="10">D57+G57+J57+M57+P57+S57</f>
        <v>46</v>
      </c>
      <c r="W57" s="26"/>
      <c r="Y57" s="26"/>
      <c r="Z57" s="74"/>
      <c r="AA57" s="59"/>
      <c r="AD57" s="6"/>
      <c r="AF57" s="8"/>
    </row>
    <row r="58" spans="1:32" x14ac:dyDescent="0.25">
      <c r="A58" s="39" t="s">
        <v>49</v>
      </c>
      <c r="B58" s="163">
        <v>0</v>
      </c>
      <c r="C58" s="39" t="s">
        <v>173</v>
      </c>
      <c r="D58" s="184">
        <v>0</v>
      </c>
      <c r="E58" s="26"/>
      <c r="G58" s="184">
        <v>0</v>
      </c>
      <c r="H58" s="26"/>
      <c r="J58" s="184">
        <v>0</v>
      </c>
      <c r="K58" s="26"/>
      <c r="M58" s="184">
        <v>0</v>
      </c>
      <c r="N58" s="26"/>
      <c r="P58" s="184">
        <v>77</v>
      </c>
      <c r="Q58" s="26"/>
      <c r="S58" s="184">
        <v>169</v>
      </c>
      <c r="T58" s="26"/>
      <c r="V58" s="181">
        <f t="shared" si="9"/>
        <v>246</v>
      </c>
      <c r="W58" s="26"/>
      <c r="Y58" s="26"/>
      <c r="Z58" s="74"/>
      <c r="AA58" s="59"/>
      <c r="AD58" s="6"/>
      <c r="AF58" s="8"/>
    </row>
    <row r="59" spans="1:32" x14ac:dyDescent="0.25">
      <c r="A59" s="39" t="s">
        <v>235</v>
      </c>
      <c r="B59" s="163">
        <v>0</v>
      </c>
      <c r="C59" s="39" t="s">
        <v>173</v>
      </c>
      <c r="D59" s="184">
        <v>0</v>
      </c>
      <c r="E59" s="26"/>
      <c r="G59" s="184">
        <v>0</v>
      </c>
      <c r="H59" s="26"/>
      <c r="J59" s="184">
        <v>0</v>
      </c>
      <c r="K59" s="26"/>
      <c r="M59" s="184">
        <v>0</v>
      </c>
      <c r="N59" s="26"/>
      <c r="P59" s="184">
        <v>12</v>
      </c>
      <c r="Q59" s="26"/>
      <c r="S59" s="184">
        <v>42</v>
      </c>
      <c r="T59" s="26"/>
      <c r="V59" s="181">
        <f t="shared" ref="V59" si="11">D59+G59+J59+M59+P59+S59</f>
        <v>54</v>
      </c>
      <c r="W59" s="26"/>
      <c r="Y59" s="26"/>
      <c r="Z59" s="74"/>
      <c r="AA59" s="59"/>
      <c r="AD59" s="6"/>
      <c r="AF59" s="8"/>
    </row>
    <row r="60" spans="1:32" x14ac:dyDescent="0.25">
      <c r="A60" s="39" t="s">
        <v>15</v>
      </c>
      <c r="B60" s="163">
        <v>0</v>
      </c>
      <c r="C60" s="39" t="s">
        <v>186</v>
      </c>
      <c r="D60" s="184">
        <v>0</v>
      </c>
      <c r="E60" s="26"/>
      <c r="G60" s="184">
        <v>0</v>
      </c>
      <c r="H60" s="26"/>
      <c r="J60" s="184">
        <v>0</v>
      </c>
      <c r="K60" s="26"/>
      <c r="M60" s="184">
        <v>0</v>
      </c>
      <c r="N60" s="26"/>
      <c r="P60" s="184">
        <v>61</v>
      </c>
      <c r="Q60" s="26"/>
      <c r="S60" s="184">
        <v>139</v>
      </c>
      <c r="T60" s="26"/>
      <c r="V60" s="181">
        <f t="shared" si="9"/>
        <v>200</v>
      </c>
      <c r="W60" s="26"/>
      <c r="Y60" s="26"/>
      <c r="Z60" s="26"/>
      <c r="AA60" s="59"/>
    </row>
    <row r="61" spans="1:32" x14ac:dyDescent="0.25">
      <c r="A61" s="39" t="s">
        <v>48</v>
      </c>
      <c r="B61" s="163">
        <v>0</v>
      </c>
      <c r="C61" s="39" t="s">
        <v>82</v>
      </c>
      <c r="D61" s="163">
        <v>0</v>
      </c>
      <c r="G61" s="163">
        <v>0</v>
      </c>
      <c r="J61" s="163">
        <v>0</v>
      </c>
      <c r="M61" s="163">
        <v>0</v>
      </c>
      <c r="P61" s="163">
        <v>2</v>
      </c>
      <c r="S61" s="163">
        <v>3</v>
      </c>
      <c r="V61" s="181">
        <f t="shared" si="9"/>
        <v>5</v>
      </c>
      <c r="Y61" s="26"/>
      <c r="Z61" s="26"/>
      <c r="AA61" s="58"/>
      <c r="AF61" s="8"/>
    </row>
    <row r="62" spans="1:32" ht="15.75" thickBot="1" x14ac:dyDescent="0.3">
      <c r="A62" s="203" t="s">
        <v>50</v>
      </c>
      <c r="B62" s="259">
        <v>0</v>
      </c>
      <c r="C62" s="203" t="s">
        <v>82</v>
      </c>
      <c r="D62" s="219">
        <v>0</v>
      </c>
      <c r="E62" s="246" t="s">
        <v>84</v>
      </c>
      <c r="F62" s="246" t="s">
        <v>85</v>
      </c>
      <c r="G62" s="219">
        <v>0</v>
      </c>
      <c r="H62" s="246" t="s">
        <v>84</v>
      </c>
      <c r="I62" s="246" t="s">
        <v>85</v>
      </c>
      <c r="J62" s="219">
        <v>0</v>
      </c>
      <c r="K62" s="246" t="s">
        <v>84</v>
      </c>
      <c r="L62" s="246" t="s">
        <v>85</v>
      </c>
      <c r="M62" s="219">
        <v>0</v>
      </c>
      <c r="P62" s="219">
        <v>2</v>
      </c>
      <c r="S62" s="219">
        <v>137</v>
      </c>
      <c r="V62" s="220">
        <f t="shared" ref="V62" si="12">D62+G62+J62+M62+P62+S62</f>
        <v>139</v>
      </c>
      <c r="Y62" s="26"/>
      <c r="Z62" s="26"/>
      <c r="AA62" s="59"/>
    </row>
    <row r="63" spans="1:32" x14ac:dyDescent="0.25">
      <c r="A63" s="247"/>
      <c r="B63" s="251"/>
      <c r="C63" s="249"/>
      <c r="D63" s="248">
        <v>0</v>
      </c>
      <c r="E63" s="250" t="s">
        <v>84</v>
      </c>
      <c r="F63" s="250" t="s">
        <v>85</v>
      </c>
      <c r="G63" s="248">
        <v>0</v>
      </c>
      <c r="H63" s="250" t="s">
        <v>84</v>
      </c>
      <c r="I63" s="250" t="s">
        <v>85</v>
      </c>
      <c r="J63" s="248">
        <v>0</v>
      </c>
      <c r="K63" s="250" t="s">
        <v>84</v>
      </c>
      <c r="L63" s="250" t="s">
        <v>85</v>
      </c>
      <c r="M63" s="248"/>
      <c r="N63" s="250" t="s">
        <v>84</v>
      </c>
      <c r="O63" s="250" t="s">
        <v>85</v>
      </c>
      <c r="P63" s="248"/>
      <c r="Q63" s="250" t="s">
        <v>84</v>
      </c>
      <c r="R63" s="250" t="s">
        <v>85</v>
      </c>
      <c r="S63" s="248"/>
      <c r="T63" s="250" t="s">
        <v>84</v>
      </c>
      <c r="U63" s="250" t="s">
        <v>85</v>
      </c>
      <c r="V63" s="251"/>
      <c r="W63" s="252" t="s">
        <v>84</v>
      </c>
      <c r="X63" s="253" t="s">
        <v>85</v>
      </c>
      <c r="Y63" s="26"/>
      <c r="Z63" s="26"/>
      <c r="AA63" s="59"/>
    </row>
    <row r="64" spans="1:32" ht="15.75" thickBot="1" x14ac:dyDescent="0.3">
      <c r="A64" s="254" t="s">
        <v>53</v>
      </c>
      <c r="B64" s="255">
        <f>SUM(B55:B63)</f>
        <v>0</v>
      </c>
      <c r="C64" s="256"/>
      <c r="D64" s="255">
        <f>SUM(D55:D63)</f>
        <v>0</v>
      </c>
      <c r="E64" s="257">
        <f>D56+D58+D60+D61+D63</f>
        <v>0</v>
      </c>
      <c r="F64" s="257">
        <f>D64-E64</f>
        <v>0</v>
      </c>
      <c r="G64" s="255">
        <f>SUM(G55:G63)</f>
        <v>0</v>
      </c>
      <c r="H64" s="257">
        <f>G56+G58+G60+G61+G63</f>
        <v>0</v>
      </c>
      <c r="I64" s="257">
        <f>G64-H64</f>
        <v>0</v>
      </c>
      <c r="J64" s="255">
        <f>SUM(J55:J63)</f>
        <v>0</v>
      </c>
      <c r="K64" s="257">
        <f>J56+J58+J60+J61+J63</f>
        <v>0</v>
      </c>
      <c r="L64" s="257">
        <f>J64-K64</f>
        <v>0</v>
      </c>
      <c r="M64" s="255">
        <f>SUM(M55:M63)</f>
        <v>0</v>
      </c>
      <c r="N64" s="257">
        <f>M56+M58+M60+M61+M63</f>
        <v>0</v>
      </c>
      <c r="O64" s="257">
        <f>M64-N64</f>
        <v>0</v>
      </c>
      <c r="P64" s="255">
        <f>SUM(P55:P63)</f>
        <v>187</v>
      </c>
      <c r="Q64" s="257">
        <f>P56+P58+P60+P61+P63</f>
        <v>167</v>
      </c>
      <c r="R64" s="257">
        <f>P64-Q64</f>
        <v>20</v>
      </c>
      <c r="S64" s="255">
        <f>SUM(S55:S63)</f>
        <v>592</v>
      </c>
      <c r="T64" s="257">
        <f>S56+S58+S60+S61+S63</f>
        <v>373</v>
      </c>
      <c r="U64" s="257">
        <f>S64-T64</f>
        <v>219</v>
      </c>
      <c r="V64" s="255">
        <f>SUM(V55:V63)</f>
        <v>779</v>
      </c>
      <c r="W64" s="257">
        <f>V56+V58+V60+V61+V63</f>
        <v>540</v>
      </c>
      <c r="X64" s="258">
        <f>V64-W64</f>
        <v>239</v>
      </c>
      <c r="Y64" s="26"/>
      <c r="Z64" s="26"/>
      <c r="AA64" s="59"/>
      <c r="AD64" s="6"/>
      <c r="AF64" s="8"/>
    </row>
    <row r="65" spans="1:33" x14ac:dyDescent="0.25">
      <c r="A65" s="179"/>
      <c r="B65" s="184"/>
      <c r="C65" s="179"/>
      <c r="E65" s="26"/>
      <c r="H65" s="26"/>
      <c r="K65" s="26"/>
      <c r="N65" s="26"/>
      <c r="Q65" s="26"/>
      <c r="T65" s="26"/>
      <c r="V65" s="26"/>
      <c r="W65" s="26"/>
      <c r="Y65" s="26"/>
      <c r="Z65" s="26"/>
      <c r="AA65" s="59"/>
      <c r="AD65" s="6"/>
      <c r="AF65" s="8"/>
    </row>
    <row r="66" spans="1:33" ht="15.75" thickBot="1" x14ac:dyDescent="0.3">
      <c r="A66" s="203"/>
      <c r="B66" s="204"/>
      <c r="C66" s="203"/>
      <c r="E66" s="26"/>
      <c r="H66" s="26"/>
      <c r="K66" s="26"/>
      <c r="N66" s="26"/>
      <c r="Q66" s="26"/>
      <c r="T66" s="26"/>
      <c r="V66" s="26"/>
      <c r="W66" s="26"/>
      <c r="Y66" s="26"/>
      <c r="Z66" s="26"/>
      <c r="AA66" s="87"/>
      <c r="AD66" s="6"/>
      <c r="AF66" s="8"/>
    </row>
    <row r="67" spans="1:33" ht="30.75" thickBot="1" x14ac:dyDescent="0.3">
      <c r="A67" s="198" t="s">
        <v>4</v>
      </c>
      <c r="B67" s="199" t="s">
        <v>214</v>
      </c>
      <c r="C67" s="206"/>
      <c r="D67" s="200" t="s">
        <v>216</v>
      </c>
      <c r="E67" s="206"/>
      <c r="F67" s="206"/>
      <c r="G67" s="200" t="s">
        <v>217</v>
      </c>
      <c r="H67" s="206"/>
      <c r="I67" s="206"/>
      <c r="J67" s="200" t="s">
        <v>218</v>
      </c>
      <c r="K67" s="206"/>
      <c r="L67" s="206"/>
      <c r="M67" s="200" t="s">
        <v>231</v>
      </c>
      <c r="N67" s="206"/>
      <c r="O67" s="206"/>
      <c r="P67" s="200" t="s">
        <v>232</v>
      </c>
      <c r="Q67" s="206"/>
      <c r="R67" s="206"/>
      <c r="S67" s="200" t="s">
        <v>233</v>
      </c>
      <c r="T67" s="206"/>
      <c r="U67" s="206"/>
      <c r="V67" s="209" t="s">
        <v>215</v>
      </c>
      <c r="W67" s="26"/>
      <c r="Y67" s="74"/>
      <c r="Z67" s="26"/>
      <c r="AA67" s="87"/>
      <c r="AD67" s="6"/>
      <c r="AF67" s="8"/>
    </row>
    <row r="68" spans="1:33" x14ac:dyDescent="0.25">
      <c r="A68" s="39" t="s">
        <v>15</v>
      </c>
      <c r="B68" s="163">
        <v>0</v>
      </c>
      <c r="C68" s="39" t="s">
        <v>182</v>
      </c>
      <c r="D68" s="184">
        <v>0</v>
      </c>
      <c r="E68" s="26"/>
      <c r="G68" s="184">
        <v>0</v>
      </c>
      <c r="H68" s="26"/>
      <c r="J68" s="184">
        <v>0</v>
      </c>
      <c r="K68" s="26"/>
      <c r="M68" s="184">
        <v>0</v>
      </c>
      <c r="N68" s="26"/>
      <c r="P68" s="184">
        <v>26</v>
      </c>
      <c r="Q68" s="26"/>
      <c r="S68" s="184">
        <v>131</v>
      </c>
      <c r="T68" s="26"/>
      <c r="V68" s="181">
        <f t="shared" ref="V68:V74" si="13">D68+G68+J68+M68+P68+S68</f>
        <v>157</v>
      </c>
      <c r="W68" s="26"/>
      <c r="Y68" s="26"/>
      <c r="Z68" s="26"/>
      <c r="AA68" s="168"/>
      <c r="AC68" s="26"/>
      <c r="AD68" s="44"/>
    </row>
    <row r="69" spans="1:33" x14ac:dyDescent="0.25">
      <c r="A69" s="39" t="s">
        <v>48</v>
      </c>
      <c r="B69" s="163">
        <v>0</v>
      </c>
      <c r="C69" s="39" t="s">
        <v>182</v>
      </c>
      <c r="D69" s="184">
        <v>0</v>
      </c>
      <c r="E69" s="26"/>
      <c r="G69" s="184">
        <v>0</v>
      </c>
      <c r="H69" s="26"/>
      <c r="J69" s="184">
        <v>0</v>
      </c>
      <c r="K69" s="26"/>
      <c r="M69" s="184">
        <v>0</v>
      </c>
      <c r="N69" s="26"/>
      <c r="P69" s="184">
        <v>2</v>
      </c>
      <c r="Q69" s="26"/>
      <c r="S69" s="184">
        <v>3</v>
      </c>
      <c r="T69" s="26"/>
      <c r="V69" s="181">
        <f t="shared" si="13"/>
        <v>5</v>
      </c>
      <c r="W69" s="26"/>
      <c r="Y69" s="26"/>
      <c r="Z69" s="26"/>
      <c r="AA69" s="87"/>
    </row>
    <row r="70" spans="1:33" x14ac:dyDescent="0.25">
      <c r="A70" s="39" t="s">
        <v>50</v>
      </c>
      <c r="B70" s="163">
        <v>0</v>
      </c>
      <c r="C70" s="39" t="s">
        <v>201</v>
      </c>
      <c r="D70" s="184">
        <v>0</v>
      </c>
      <c r="E70" s="26"/>
      <c r="G70" s="184">
        <v>0</v>
      </c>
      <c r="H70" s="26"/>
      <c r="J70" s="184">
        <v>0</v>
      </c>
      <c r="K70" s="26"/>
      <c r="M70" s="184">
        <v>0</v>
      </c>
      <c r="N70" s="26"/>
      <c r="P70" s="184">
        <v>100</v>
      </c>
      <c r="Q70" s="26"/>
      <c r="S70" s="184">
        <v>134</v>
      </c>
      <c r="T70" s="26"/>
      <c r="V70" s="181">
        <f t="shared" si="13"/>
        <v>234</v>
      </c>
      <c r="W70" s="26"/>
      <c r="Y70" s="26"/>
      <c r="Z70" s="26"/>
      <c r="AA70" s="87"/>
    </row>
    <row r="71" spans="1:33" x14ac:dyDescent="0.25">
      <c r="A71" s="39" t="s">
        <v>49</v>
      </c>
      <c r="B71" s="163">
        <v>0</v>
      </c>
      <c r="C71" s="39" t="s">
        <v>183</v>
      </c>
      <c r="D71" s="184">
        <v>0</v>
      </c>
      <c r="E71" s="26"/>
      <c r="G71" s="184">
        <v>0</v>
      </c>
      <c r="H71" s="26"/>
      <c r="J71" s="184">
        <v>0</v>
      </c>
      <c r="K71" s="26"/>
      <c r="M71" s="184">
        <v>0</v>
      </c>
      <c r="N71" s="26"/>
      <c r="P71" s="184">
        <v>31</v>
      </c>
      <c r="Q71" s="26"/>
      <c r="S71" s="184">
        <v>46</v>
      </c>
      <c r="T71" s="26"/>
      <c r="V71" s="181">
        <f t="shared" si="13"/>
        <v>77</v>
      </c>
      <c r="W71" s="26"/>
      <c r="Y71" s="26"/>
      <c r="Z71" s="26"/>
      <c r="AA71" s="87"/>
    </row>
    <row r="72" spans="1:33" x14ac:dyDescent="0.25">
      <c r="A72" s="39" t="s">
        <v>235</v>
      </c>
      <c r="B72" s="163">
        <v>0</v>
      </c>
      <c r="C72" s="39" t="s">
        <v>244</v>
      </c>
      <c r="D72" s="184">
        <v>0</v>
      </c>
      <c r="E72" s="26"/>
      <c r="G72" s="184">
        <v>0</v>
      </c>
      <c r="H72" s="26"/>
      <c r="J72" s="184">
        <v>0</v>
      </c>
      <c r="K72" s="26"/>
      <c r="M72" s="184">
        <v>0</v>
      </c>
      <c r="N72" s="26"/>
      <c r="P72" s="184">
        <v>12</v>
      </c>
      <c r="Q72" s="26"/>
      <c r="S72" s="184">
        <v>42</v>
      </c>
      <c r="T72" s="26"/>
      <c r="V72" s="181">
        <f t="shared" si="13"/>
        <v>54</v>
      </c>
      <c r="W72" s="26"/>
      <c r="Y72" s="167"/>
      <c r="AA72" s="87"/>
    </row>
    <row r="73" spans="1:33" x14ac:dyDescent="0.25">
      <c r="A73" s="39" t="s">
        <v>184</v>
      </c>
      <c r="B73" s="163">
        <v>0</v>
      </c>
      <c r="C73" s="39" t="s">
        <v>183</v>
      </c>
      <c r="D73" s="184">
        <v>0</v>
      </c>
      <c r="E73" s="26"/>
      <c r="G73" s="184">
        <v>0</v>
      </c>
      <c r="H73" s="26"/>
      <c r="J73" s="184">
        <v>0</v>
      </c>
      <c r="K73" s="26"/>
      <c r="M73" s="184">
        <v>0</v>
      </c>
      <c r="N73" s="26"/>
      <c r="P73" s="184">
        <v>4</v>
      </c>
      <c r="Q73" s="26"/>
      <c r="S73" s="184">
        <v>60</v>
      </c>
      <c r="T73" s="26"/>
      <c r="V73" s="181">
        <f t="shared" si="13"/>
        <v>64</v>
      </c>
      <c r="W73" s="26"/>
      <c r="Y73" s="74"/>
      <c r="Z73" s="26"/>
      <c r="AA73" s="87"/>
    </row>
    <row r="74" spans="1:33" ht="15.75" thickBot="1" x14ac:dyDescent="0.3">
      <c r="A74" s="203" t="s">
        <v>243</v>
      </c>
      <c r="B74" s="259">
        <v>0</v>
      </c>
      <c r="C74" s="203" t="s">
        <v>183</v>
      </c>
      <c r="D74" s="219">
        <v>0</v>
      </c>
      <c r="E74" s="26"/>
      <c r="G74" s="219">
        <v>0</v>
      </c>
      <c r="H74" s="26"/>
      <c r="J74" s="219">
        <v>0</v>
      </c>
      <c r="K74" s="26"/>
      <c r="M74" s="219">
        <v>0</v>
      </c>
      <c r="N74" s="26"/>
      <c r="P74" s="219">
        <v>6</v>
      </c>
      <c r="Q74" s="26"/>
      <c r="S74" s="219">
        <v>40</v>
      </c>
      <c r="T74" s="26"/>
      <c r="V74" s="220">
        <f t="shared" si="13"/>
        <v>46</v>
      </c>
      <c r="W74" s="26"/>
      <c r="Y74" s="74"/>
      <c r="Z74" s="26"/>
      <c r="AA74" s="87"/>
    </row>
    <row r="75" spans="1:33" x14ac:dyDescent="0.25">
      <c r="A75" s="247"/>
      <c r="B75" s="251"/>
      <c r="C75" s="249"/>
      <c r="D75" s="248">
        <v>0</v>
      </c>
      <c r="E75" s="250" t="s">
        <v>84</v>
      </c>
      <c r="F75" s="250" t="s">
        <v>85</v>
      </c>
      <c r="G75" s="248">
        <v>0</v>
      </c>
      <c r="H75" s="250" t="s">
        <v>84</v>
      </c>
      <c r="I75" s="250" t="s">
        <v>85</v>
      </c>
      <c r="J75" s="248">
        <v>0</v>
      </c>
      <c r="K75" s="250" t="s">
        <v>84</v>
      </c>
      <c r="L75" s="250" t="s">
        <v>85</v>
      </c>
      <c r="M75" s="248"/>
      <c r="N75" s="250" t="s">
        <v>84</v>
      </c>
      <c r="O75" s="250" t="s">
        <v>85</v>
      </c>
      <c r="P75" s="248"/>
      <c r="Q75" s="250" t="s">
        <v>84</v>
      </c>
      <c r="R75" s="250" t="s">
        <v>85</v>
      </c>
      <c r="S75" s="248"/>
      <c r="T75" s="250" t="s">
        <v>84</v>
      </c>
      <c r="U75" s="250" t="s">
        <v>85</v>
      </c>
      <c r="V75" s="251"/>
      <c r="W75" s="252" t="s">
        <v>84</v>
      </c>
      <c r="X75" s="253" t="s">
        <v>85</v>
      </c>
      <c r="AA75" s="168"/>
      <c r="AF75" s="8"/>
      <c r="AG75" s="6"/>
    </row>
    <row r="76" spans="1:33" ht="15.75" thickBot="1" x14ac:dyDescent="0.3">
      <c r="A76" s="254" t="s">
        <v>53</v>
      </c>
      <c r="B76" s="255">
        <f>SUM(B68:B75)</f>
        <v>0</v>
      </c>
      <c r="C76" s="256"/>
      <c r="D76" s="255">
        <f>SUM(D68:D75)</f>
        <v>0</v>
      </c>
      <c r="E76" s="257">
        <f>SUM(D68:D75)</f>
        <v>0</v>
      </c>
      <c r="F76" s="257">
        <f>D76-E76</f>
        <v>0</v>
      </c>
      <c r="G76" s="255">
        <f>SUM(G68:G75)</f>
        <v>0</v>
      </c>
      <c r="H76" s="257">
        <f>SUM(G68:G75)</f>
        <v>0</v>
      </c>
      <c r="I76" s="257">
        <f>G76-H76</f>
        <v>0</v>
      </c>
      <c r="J76" s="255">
        <f>SUM(J68:J75)</f>
        <v>0</v>
      </c>
      <c r="K76" s="257">
        <f>SUM(J68:J75)</f>
        <v>0</v>
      </c>
      <c r="L76" s="257">
        <f>J76-K76</f>
        <v>0</v>
      </c>
      <c r="M76" s="255">
        <f>SUM(M68:M75)</f>
        <v>0</v>
      </c>
      <c r="N76" s="257">
        <f>SUM(M68:M75)</f>
        <v>0</v>
      </c>
      <c r="O76" s="257">
        <f>M76-N76</f>
        <v>0</v>
      </c>
      <c r="P76" s="255">
        <f>SUM(P68:P75)</f>
        <v>181</v>
      </c>
      <c r="Q76" s="257">
        <f>SUM(P68:P75)</f>
        <v>181</v>
      </c>
      <c r="R76" s="257">
        <f>P76-Q76</f>
        <v>0</v>
      </c>
      <c r="S76" s="255">
        <f>SUM(S68:S75)</f>
        <v>456</v>
      </c>
      <c r="T76" s="257">
        <f>SUM(S68:S75)</f>
        <v>456</v>
      </c>
      <c r="U76" s="257">
        <f>S76-T76</f>
        <v>0</v>
      </c>
      <c r="V76" s="255">
        <f>SUM(V68:V75)</f>
        <v>637</v>
      </c>
      <c r="W76" s="257">
        <f>SUM(V68:V75)</f>
        <v>637</v>
      </c>
      <c r="X76" s="258">
        <f>V76-W76</f>
        <v>0</v>
      </c>
      <c r="AA76" s="87"/>
      <c r="AD76" s="6"/>
      <c r="AF76" s="8"/>
    </row>
    <row r="77" spans="1:33" x14ac:dyDescent="0.25">
      <c r="A77" s="75"/>
      <c r="B77" s="58"/>
      <c r="C77" s="75"/>
      <c r="E77" s="26"/>
      <c r="H77" s="26"/>
      <c r="K77" s="26"/>
      <c r="N77" s="26"/>
      <c r="Q77" s="26"/>
      <c r="T77" s="26"/>
      <c r="V77" s="26"/>
      <c r="W77" s="26"/>
      <c r="AA77" s="87"/>
      <c r="AD77" s="6"/>
      <c r="AF77" s="8"/>
    </row>
    <row r="78" spans="1:33" ht="15.75" thickBot="1" x14ac:dyDescent="0.3">
      <c r="A78" s="75"/>
      <c r="B78" s="58"/>
      <c r="C78" s="75"/>
      <c r="E78" s="26"/>
      <c r="F78" s="26"/>
      <c r="H78" s="26"/>
      <c r="I78" s="26"/>
      <c r="K78" s="26"/>
      <c r="L78" s="26"/>
      <c r="N78" s="26"/>
      <c r="O78" s="26"/>
      <c r="Q78" s="26"/>
      <c r="R78" s="26"/>
      <c r="T78" s="26"/>
      <c r="U78" s="26"/>
      <c r="V78" s="26"/>
      <c r="W78" s="26"/>
      <c r="X78" s="26"/>
      <c r="AA78" s="26"/>
      <c r="AD78" s="6"/>
      <c r="AF78" s="8"/>
    </row>
    <row r="79" spans="1:33" ht="30.75" thickBot="1" x14ac:dyDescent="0.3">
      <c r="A79" s="198" t="s">
        <v>27</v>
      </c>
      <c r="B79" s="199" t="s">
        <v>214</v>
      </c>
      <c r="C79" s="198" t="s">
        <v>35</v>
      </c>
      <c r="D79" s="200" t="s">
        <v>216</v>
      </c>
      <c r="E79" s="206"/>
      <c r="F79" s="206"/>
      <c r="G79" s="200" t="s">
        <v>217</v>
      </c>
      <c r="H79" s="206"/>
      <c r="I79" s="206"/>
      <c r="J79" s="200" t="s">
        <v>218</v>
      </c>
      <c r="K79" s="206"/>
      <c r="L79" s="206"/>
      <c r="M79" s="200" t="s">
        <v>231</v>
      </c>
      <c r="N79" s="206"/>
      <c r="O79" s="206"/>
      <c r="P79" s="200" t="s">
        <v>232</v>
      </c>
      <c r="Q79" s="206"/>
      <c r="R79" s="206"/>
      <c r="S79" s="200" t="s">
        <v>233</v>
      </c>
      <c r="T79" s="206"/>
      <c r="U79" s="206"/>
      <c r="V79" s="209" t="s">
        <v>215</v>
      </c>
      <c r="W79" s="26"/>
      <c r="X79" s="26"/>
      <c r="Z79" s="26"/>
      <c r="AA79" s="26"/>
      <c r="AF79" s="8"/>
    </row>
    <row r="80" spans="1:33" x14ac:dyDescent="0.25">
      <c r="A80" s="39" t="s">
        <v>177</v>
      </c>
      <c r="B80" s="163">
        <v>0</v>
      </c>
      <c r="C80" t="s">
        <v>164</v>
      </c>
      <c r="D80" s="184">
        <v>0</v>
      </c>
      <c r="E80" s="26"/>
      <c r="F80" s="74"/>
      <c r="G80" s="184">
        <v>0</v>
      </c>
      <c r="H80" s="26"/>
      <c r="I80" s="74"/>
      <c r="J80" s="184">
        <v>0</v>
      </c>
      <c r="K80" s="26"/>
      <c r="L80" s="74"/>
      <c r="M80" s="184">
        <v>0</v>
      </c>
      <c r="N80" s="26"/>
      <c r="O80" s="74"/>
      <c r="P80" s="184">
        <v>0</v>
      </c>
      <c r="Q80" s="26"/>
      <c r="R80" s="74"/>
      <c r="S80" s="184">
        <v>0</v>
      </c>
      <c r="T80" s="26"/>
      <c r="U80" s="74"/>
      <c r="V80" s="181">
        <f t="shared" ref="V80:V90" si="14">D80+G80+J80+M80+P80+S80</f>
        <v>0</v>
      </c>
      <c r="W80" s="26"/>
      <c r="X80" s="74"/>
      <c r="Z80" s="26"/>
      <c r="AA80" s="26"/>
      <c r="AF80" s="8"/>
    </row>
    <row r="81" spans="1:32" x14ac:dyDescent="0.25">
      <c r="A81" s="39" t="s">
        <v>177</v>
      </c>
      <c r="B81" s="163">
        <v>0</v>
      </c>
      <c r="C81" s="41" t="s">
        <v>145</v>
      </c>
      <c r="D81" s="184">
        <v>0</v>
      </c>
      <c r="E81" s="26"/>
      <c r="F81" s="74"/>
      <c r="G81" s="184">
        <v>0</v>
      </c>
      <c r="H81" s="26"/>
      <c r="I81" s="74"/>
      <c r="J81" s="184">
        <v>0</v>
      </c>
      <c r="K81" s="26"/>
      <c r="L81" s="74"/>
      <c r="M81" s="184">
        <v>0</v>
      </c>
      <c r="N81" s="26"/>
      <c r="O81" s="74"/>
      <c r="P81" s="184">
        <v>0</v>
      </c>
      <c r="Q81" s="26"/>
      <c r="R81" s="74"/>
      <c r="S81" s="184">
        <v>0</v>
      </c>
      <c r="T81" s="26"/>
      <c r="U81" s="74"/>
      <c r="V81" s="181">
        <f t="shared" si="14"/>
        <v>0</v>
      </c>
      <c r="W81" s="26"/>
      <c r="X81" s="74"/>
      <c r="Z81" s="26"/>
      <c r="AA81" s="26"/>
      <c r="AF81" s="8"/>
    </row>
    <row r="82" spans="1:32" x14ac:dyDescent="0.25">
      <c r="A82" s="39" t="s">
        <v>177</v>
      </c>
      <c r="B82" s="163">
        <v>0</v>
      </c>
      <c r="C82" s="41" t="s">
        <v>147</v>
      </c>
      <c r="D82" s="184">
        <v>0</v>
      </c>
      <c r="E82" s="26"/>
      <c r="F82" s="74"/>
      <c r="G82" s="184">
        <v>0</v>
      </c>
      <c r="H82" s="26"/>
      <c r="I82" s="74"/>
      <c r="J82" s="184">
        <v>0</v>
      </c>
      <c r="K82" s="26"/>
      <c r="L82" s="74"/>
      <c r="M82" s="184">
        <v>0</v>
      </c>
      <c r="N82" s="26"/>
      <c r="O82" s="74"/>
      <c r="P82" s="184">
        <v>0</v>
      </c>
      <c r="Q82" s="26"/>
      <c r="R82" s="74"/>
      <c r="S82" s="184">
        <v>0</v>
      </c>
      <c r="T82" s="26"/>
      <c r="U82" s="74"/>
      <c r="V82" s="181">
        <f t="shared" si="14"/>
        <v>0</v>
      </c>
      <c r="W82" s="26"/>
      <c r="X82" s="74"/>
      <c r="Z82" s="26"/>
      <c r="AA82" s="26"/>
      <c r="AF82" s="8"/>
    </row>
    <row r="83" spans="1:32" x14ac:dyDescent="0.25">
      <c r="A83" s="39" t="s">
        <v>177</v>
      </c>
      <c r="B83" s="163">
        <v>0</v>
      </c>
      <c r="C83" s="41" t="s">
        <v>149</v>
      </c>
      <c r="D83" s="184">
        <v>0</v>
      </c>
      <c r="E83" s="26"/>
      <c r="F83" s="74"/>
      <c r="G83" s="184">
        <v>0</v>
      </c>
      <c r="H83" s="26"/>
      <c r="I83" s="74"/>
      <c r="J83" s="184">
        <v>0</v>
      </c>
      <c r="K83" s="26"/>
      <c r="L83" s="74"/>
      <c r="M83" s="184">
        <v>0</v>
      </c>
      <c r="N83" s="26"/>
      <c r="O83" s="74"/>
      <c r="P83" s="184">
        <v>0</v>
      </c>
      <c r="Q83" s="26"/>
      <c r="R83" s="74"/>
      <c r="S83" s="184">
        <v>0</v>
      </c>
      <c r="T83" s="26"/>
      <c r="U83" s="74"/>
      <c r="V83" s="181">
        <f t="shared" si="14"/>
        <v>0</v>
      </c>
      <c r="W83" s="26"/>
      <c r="X83" s="74"/>
      <c r="Z83" s="26"/>
      <c r="AA83" s="26"/>
      <c r="AF83" s="8"/>
    </row>
    <row r="84" spans="1:32" x14ac:dyDescent="0.25">
      <c r="A84" s="39" t="s">
        <v>177</v>
      </c>
      <c r="B84" s="163">
        <v>0</v>
      </c>
      <c r="C84" s="41" t="s">
        <v>155</v>
      </c>
      <c r="D84" s="184">
        <v>0</v>
      </c>
      <c r="E84" s="26"/>
      <c r="F84" s="74"/>
      <c r="G84" s="184">
        <v>0</v>
      </c>
      <c r="H84" s="26"/>
      <c r="I84" s="74"/>
      <c r="J84" s="184">
        <v>0</v>
      </c>
      <c r="K84" s="26"/>
      <c r="L84" s="74"/>
      <c r="M84" s="184">
        <v>0</v>
      </c>
      <c r="N84" s="26"/>
      <c r="O84" s="74"/>
      <c r="P84" s="184">
        <v>0</v>
      </c>
      <c r="Q84" s="26"/>
      <c r="R84" s="74"/>
      <c r="S84" s="184">
        <v>0</v>
      </c>
      <c r="T84" s="26"/>
      <c r="U84" s="74"/>
      <c r="V84" s="181">
        <f t="shared" si="14"/>
        <v>0</v>
      </c>
      <c r="W84" s="26"/>
      <c r="X84" s="74"/>
      <c r="Z84" s="26"/>
      <c r="AA84" s="26"/>
      <c r="AF84" s="8"/>
    </row>
    <row r="85" spans="1:32" x14ac:dyDescent="0.25">
      <c r="A85" s="39" t="s">
        <v>177</v>
      </c>
      <c r="B85" s="163">
        <v>0</v>
      </c>
      <c r="C85" s="41" t="s">
        <v>157</v>
      </c>
      <c r="D85" s="184">
        <v>0</v>
      </c>
      <c r="E85" s="26"/>
      <c r="F85" s="74"/>
      <c r="G85" s="184">
        <v>0</v>
      </c>
      <c r="H85" s="26"/>
      <c r="I85" s="74"/>
      <c r="J85" s="184">
        <v>0</v>
      </c>
      <c r="K85" s="26"/>
      <c r="L85" s="74"/>
      <c r="M85" s="184">
        <v>0</v>
      </c>
      <c r="N85" s="26"/>
      <c r="O85" s="74"/>
      <c r="P85" s="184">
        <v>0</v>
      </c>
      <c r="Q85" s="26"/>
      <c r="R85" s="74"/>
      <c r="S85" s="184">
        <v>0</v>
      </c>
      <c r="T85" s="26"/>
      <c r="U85" s="74"/>
      <c r="V85" s="181">
        <f t="shared" si="14"/>
        <v>0</v>
      </c>
      <c r="W85" s="26"/>
      <c r="X85" s="74"/>
      <c r="Z85" s="26"/>
      <c r="AA85" s="26"/>
      <c r="AF85" s="8"/>
    </row>
    <row r="86" spans="1:32" x14ac:dyDescent="0.25">
      <c r="A86" s="39" t="s">
        <v>177</v>
      </c>
      <c r="B86" s="163">
        <v>0</v>
      </c>
      <c r="C86" s="41" t="s">
        <v>202</v>
      </c>
      <c r="D86" s="184">
        <v>0</v>
      </c>
      <c r="E86" s="26"/>
      <c r="F86" s="74"/>
      <c r="G86" s="184">
        <v>0</v>
      </c>
      <c r="H86" s="26"/>
      <c r="I86" s="74"/>
      <c r="J86" s="184">
        <v>0</v>
      </c>
      <c r="K86" s="26"/>
      <c r="L86" s="74"/>
      <c r="M86" s="184">
        <v>0</v>
      </c>
      <c r="N86" s="26"/>
      <c r="O86" s="74"/>
      <c r="P86" s="184">
        <v>0</v>
      </c>
      <c r="Q86" s="26"/>
      <c r="R86" s="74"/>
      <c r="S86" s="184">
        <v>0</v>
      </c>
      <c r="T86" s="26"/>
      <c r="U86" s="74"/>
      <c r="V86" s="181">
        <f t="shared" si="14"/>
        <v>0</v>
      </c>
      <c r="W86" s="26"/>
      <c r="X86" s="74"/>
      <c r="Z86" s="26"/>
      <c r="AA86" s="26"/>
      <c r="AF86" s="8"/>
    </row>
    <row r="87" spans="1:32" x14ac:dyDescent="0.25">
      <c r="A87" s="39" t="s">
        <v>177</v>
      </c>
      <c r="B87" s="163">
        <v>0</v>
      </c>
      <c r="C87" s="41" t="s">
        <v>158</v>
      </c>
      <c r="D87" s="184">
        <v>0</v>
      </c>
      <c r="E87" s="26"/>
      <c r="F87" s="74"/>
      <c r="G87" s="184">
        <v>0</v>
      </c>
      <c r="H87" s="26"/>
      <c r="I87" s="74"/>
      <c r="J87" s="184">
        <v>0</v>
      </c>
      <c r="K87" s="26"/>
      <c r="L87" s="74"/>
      <c r="M87" s="184">
        <v>0</v>
      </c>
      <c r="N87" s="26"/>
      <c r="O87" s="74"/>
      <c r="P87" s="184">
        <v>0</v>
      </c>
      <c r="Q87" s="26"/>
      <c r="R87" s="74"/>
      <c r="S87" s="184">
        <v>0</v>
      </c>
      <c r="T87" s="26"/>
      <c r="U87" s="74"/>
      <c r="V87" s="181">
        <f t="shared" si="14"/>
        <v>0</v>
      </c>
      <c r="W87" s="26"/>
      <c r="X87" s="74"/>
      <c r="Z87" s="26"/>
      <c r="AA87" s="26"/>
      <c r="AF87" s="8"/>
    </row>
    <row r="88" spans="1:32" x14ac:dyDescent="0.25">
      <c r="A88" s="39" t="s">
        <v>177</v>
      </c>
      <c r="B88" s="163">
        <v>0</v>
      </c>
      <c r="C88" s="41" t="s">
        <v>163</v>
      </c>
      <c r="D88" s="184">
        <v>0</v>
      </c>
      <c r="E88" s="26"/>
      <c r="F88" s="74"/>
      <c r="G88" s="184">
        <v>0</v>
      </c>
      <c r="H88" s="26"/>
      <c r="I88" s="74"/>
      <c r="J88" s="184">
        <v>0</v>
      </c>
      <c r="K88" s="26"/>
      <c r="L88" s="74"/>
      <c r="M88" s="184">
        <v>0</v>
      </c>
      <c r="N88" s="26"/>
      <c r="O88" s="74"/>
      <c r="P88" s="184">
        <v>0</v>
      </c>
      <c r="Q88" s="26"/>
      <c r="R88" s="74"/>
      <c r="S88" s="184">
        <v>0</v>
      </c>
      <c r="T88" s="26"/>
      <c r="U88" s="74"/>
      <c r="V88" s="181">
        <f t="shared" si="14"/>
        <v>0</v>
      </c>
      <c r="W88" s="26"/>
      <c r="X88" s="74"/>
      <c r="Z88" s="26"/>
      <c r="AA88" s="26"/>
      <c r="AF88" s="8"/>
    </row>
    <row r="89" spans="1:32" x14ac:dyDescent="0.25">
      <c r="A89" s="203" t="s">
        <v>177</v>
      </c>
      <c r="B89" s="163">
        <v>0</v>
      </c>
      <c r="C89" s="218" t="s">
        <v>154</v>
      </c>
      <c r="D89" s="219">
        <v>0</v>
      </c>
      <c r="E89" s="26"/>
      <c r="F89" s="74"/>
      <c r="G89" s="219">
        <v>0</v>
      </c>
      <c r="H89" s="26"/>
      <c r="I89" s="74"/>
      <c r="J89" s="219">
        <v>0</v>
      </c>
      <c r="K89" s="26"/>
      <c r="L89" s="74"/>
      <c r="M89" s="219">
        <v>0</v>
      </c>
      <c r="N89" s="26"/>
      <c r="O89" s="74"/>
      <c r="P89" s="219">
        <v>0</v>
      </c>
      <c r="Q89" s="26"/>
      <c r="R89" s="74"/>
      <c r="S89" s="219">
        <v>0</v>
      </c>
      <c r="T89" s="26"/>
      <c r="U89" s="74"/>
      <c r="V89" s="181">
        <f t="shared" ref="V89" si="15">D89+G89+J89+M89+P89+S89</f>
        <v>0</v>
      </c>
      <c r="W89" s="26"/>
      <c r="X89" s="74"/>
      <c r="Z89" s="26"/>
      <c r="AA89" s="26"/>
      <c r="AF89" s="8"/>
    </row>
    <row r="90" spans="1:32" x14ac:dyDescent="0.25">
      <c r="A90" s="203" t="s">
        <v>177</v>
      </c>
      <c r="B90" s="163">
        <v>0</v>
      </c>
      <c r="C90" s="218" t="s">
        <v>245</v>
      </c>
      <c r="D90" s="219">
        <v>0</v>
      </c>
      <c r="E90" s="26"/>
      <c r="F90" s="74"/>
      <c r="G90" s="219">
        <v>0</v>
      </c>
      <c r="H90" s="26"/>
      <c r="I90" s="74"/>
      <c r="J90" s="219">
        <v>0</v>
      </c>
      <c r="K90" s="26"/>
      <c r="L90" s="74"/>
      <c r="M90" s="219">
        <v>0</v>
      </c>
      <c r="N90" s="26"/>
      <c r="O90" s="74"/>
      <c r="P90" s="219">
        <v>1</v>
      </c>
      <c r="Q90" s="26"/>
      <c r="R90" s="74"/>
      <c r="S90" s="219">
        <v>0</v>
      </c>
      <c r="T90" s="26"/>
      <c r="U90" s="74"/>
      <c r="V90" s="181">
        <f t="shared" si="14"/>
        <v>1</v>
      </c>
      <c r="W90" s="26"/>
      <c r="X90" s="74"/>
      <c r="Z90" s="26"/>
      <c r="AA90" s="26"/>
      <c r="AF90" s="8"/>
    </row>
    <row r="91" spans="1:32" x14ac:dyDescent="0.25">
      <c r="A91" s="221"/>
      <c r="B91" s="222"/>
      <c r="C91" s="223"/>
      <c r="D91" s="224"/>
      <c r="E91" s="226"/>
      <c r="F91" s="227"/>
      <c r="G91" s="224"/>
      <c r="H91" s="226"/>
      <c r="I91" s="227"/>
      <c r="J91" s="224"/>
      <c r="K91" s="226"/>
      <c r="L91" s="227"/>
      <c r="M91" s="224"/>
      <c r="N91" s="226"/>
      <c r="O91" s="227"/>
      <c r="P91" s="224"/>
      <c r="Q91" s="226"/>
      <c r="R91" s="227"/>
      <c r="S91" s="224"/>
      <c r="T91" s="226"/>
      <c r="U91" s="227"/>
      <c r="V91" s="225"/>
      <c r="W91" s="26"/>
      <c r="X91" s="74"/>
      <c r="Z91" s="26"/>
      <c r="AA91" s="26"/>
      <c r="AF91" s="8"/>
    </row>
    <row r="92" spans="1:32" x14ac:dyDescent="0.25">
      <c r="A92" s="179" t="s">
        <v>16</v>
      </c>
      <c r="B92" s="163">
        <v>0</v>
      </c>
      <c r="C92" t="s">
        <v>164</v>
      </c>
      <c r="D92" s="184">
        <v>0</v>
      </c>
      <c r="E92" s="26"/>
      <c r="F92" s="74"/>
      <c r="G92" s="184">
        <v>0</v>
      </c>
      <c r="H92" s="26"/>
      <c r="I92" s="74"/>
      <c r="J92" s="184">
        <v>0</v>
      </c>
      <c r="K92" s="26"/>
      <c r="L92" s="74"/>
      <c r="M92" s="184">
        <v>0</v>
      </c>
      <c r="N92" s="26"/>
      <c r="O92" s="74"/>
      <c r="P92" s="184">
        <v>3</v>
      </c>
      <c r="Q92" s="26"/>
      <c r="R92" s="74"/>
      <c r="S92" s="184">
        <v>0</v>
      </c>
      <c r="T92" s="26"/>
      <c r="U92" s="74"/>
      <c r="V92" s="181">
        <f t="shared" ref="V92:V117" si="16">D92+G92+J92+M92+P92+S92</f>
        <v>3</v>
      </c>
      <c r="W92" s="26"/>
      <c r="X92" s="74"/>
      <c r="Z92" s="26"/>
      <c r="AA92" s="26"/>
      <c r="AC92" s="59"/>
      <c r="AF92" s="8"/>
    </row>
    <row r="93" spans="1:32" x14ac:dyDescent="0.25">
      <c r="A93" s="39" t="s">
        <v>16</v>
      </c>
      <c r="B93" s="163">
        <v>0</v>
      </c>
      <c r="C93" s="41" t="s">
        <v>145</v>
      </c>
      <c r="D93" s="184">
        <v>0</v>
      </c>
      <c r="E93" s="26"/>
      <c r="F93" s="74"/>
      <c r="G93" s="184">
        <v>0</v>
      </c>
      <c r="H93" s="26"/>
      <c r="I93" s="74"/>
      <c r="J93" s="184">
        <v>0</v>
      </c>
      <c r="K93" s="26"/>
      <c r="L93" s="74"/>
      <c r="M93" s="184">
        <v>0</v>
      </c>
      <c r="N93" s="26"/>
      <c r="O93" s="74"/>
      <c r="P93" s="184">
        <v>3</v>
      </c>
      <c r="Q93" s="26"/>
      <c r="R93" s="74"/>
      <c r="S93" s="184">
        <v>0</v>
      </c>
      <c r="T93" s="26"/>
      <c r="U93" s="74"/>
      <c r="V93" s="181">
        <f t="shared" si="16"/>
        <v>3</v>
      </c>
      <c r="W93" s="26"/>
      <c r="X93" s="74"/>
      <c r="Z93" s="26"/>
      <c r="AA93" s="26"/>
      <c r="AC93" s="26"/>
      <c r="AF93" s="8"/>
    </row>
    <row r="94" spans="1:32" x14ac:dyDescent="0.25">
      <c r="A94" s="39" t="s">
        <v>16</v>
      </c>
      <c r="B94" s="163">
        <v>0</v>
      </c>
      <c r="C94" s="41" t="s">
        <v>146</v>
      </c>
      <c r="D94" s="184">
        <v>0</v>
      </c>
      <c r="E94" s="26"/>
      <c r="F94" s="74"/>
      <c r="G94" s="184">
        <v>0</v>
      </c>
      <c r="H94" s="26"/>
      <c r="I94" s="74"/>
      <c r="J94" s="184">
        <v>0</v>
      </c>
      <c r="K94" s="26"/>
      <c r="L94" s="74"/>
      <c r="M94" s="184">
        <v>0</v>
      </c>
      <c r="N94" s="26"/>
      <c r="O94" s="74"/>
      <c r="P94" s="184">
        <v>3</v>
      </c>
      <c r="Q94" s="26"/>
      <c r="R94" s="74"/>
      <c r="S94" s="184">
        <v>0</v>
      </c>
      <c r="T94" s="26"/>
      <c r="U94" s="74"/>
      <c r="V94" s="181">
        <f t="shared" si="16"/>
        <v>3</v>
      </c>
      <c r="W94" s="26"/>
      <c r="X94" s="74"/>
      <c r="Z94" s="26"/>
      <c r="AA94" s="26"/>
      <c r="AC94" s="26"/>
      <c r="AF94" s="8"/>
    </row>
    <row r="95" spans="1:32" x14ac:dyDescent="0.25">
      <c r="A95" s="39" t="s">
        <v>16</v>
      </c>
      <c r="B95" s="163">
        <v>0</v>
      </c>
      <c r="C95" s="41" t="s">
        <v>147</v>
      </c>
      <c r="D95" s="184">
        <v>0</v>
      </c>
      <c r="E95" s="26"/>
      <c r="F95" s="74"/>
      <c r="G95" s="184">
        <v>0</v>
      </c>
      <c r="H95" s="26"/>
      <c r="I95" s="74"/>
      <c r="J95" s="184">
        <v>0</v>
      </c>
      <c r="K95" s="26"/>
      <c r="L95" s="74"/>
      <c r="M95" s="184">
        <v>0</v>
      </c>
      <c r="N95" s="26"/>
      <c r="O95" s="74"/>
      <c r="P95" s="184">
        <v>3</v>
      </c>
      <c r="Q95" s="26"/>
      <c r="R95" s="74"/>
      <c r="S95" s="184">
        <v>0</v>
      </c>
      <c r="T95" s="26"/>
      <c r="U95" s="74"/>
      <c r="V95" s="181">
        <f t="shared" si="16"/>
        <v>3</v>
      </c>
      <c r="W95" s="26"/>
      <c r="X95" s="74"/>
      <c r="Z95" s="26"/>
      <c r="AA95" s="26"/>
      <c r="AC95" s="26"/>
      <c r="AF95" s="8"/>
    </row>
    <row r="96" spans="1:32" x14ac:dyDescent="0.25">
      <c r="A96" s="39" t="s">
        <v>16</v>
      </c>
      <c r="B96" s="163">
        <v>0</v>
      </c>
      <c r="C96" s="41" t="s">
        <v>148</v>
      </c>
      <c r="D96" s="184">
        <v>0</v>
      </c>
      <c r="E96" s="26"/>
      <c r="F96" s="74"/>
      <c r="G96" s="184">
        <v>0</v>
      </c>
      <c r="H96" s="26"/>
      <c r="I96" s="74"/>
      <c r="J96" s="184">
        <v>0</v>
      </c>
      <c r="K96" s="26"/>
      <c r="L96" s="74"/>
      <c r="M96" s="184">
        <v>0</v>
      </c>
      <c r="N96" s="26"/>
      <c r="O96" s="74"/>
      <c r="P96" s="184">
        <v>9</v>
      </c>
      <c r="Q96" s="26"/>
      <c r="R96" s="74"/>
      <c r="S96" s="184">
        <v>2</v>
      </c>
      <c r="T96" s="26"/>
      <c r="U96" s="74"/>
      <c r="V96" s="181">
        <f t="shared" si="16"/>
        <v>11</v>
      </c>
      <c r="W96" s="26"/>
      <c r="X96" s="74"/>
      <c r="Z96" s="26"/>
      <c r="AA96" s="26"/>
      <c r="AC96" s="26"/>
      <c r="AF96" s="8"/>
    </row>
    <row r="97" spans="1:32" x14ac:dyDescent="0.25">
      <c r="A97" s="39" t="s">
        <v>16</v>
      </c>
      <c r="B97" s="163">
        <v>0</v>
      </c>
      <c r="C97" s="41" t="s">
        <v>149</v>
      </c>
      <c r="D97" s="184">
        <v>0</v>
      </c>
      <c r="E97" s="26"/>
      <c r="F97" s="74"/>
      <c r="G97" s="184">
        <v>0</v>
      </c>
      <c r="H97" s="26"/>
      <c r="I97" s="74"/>
      <c r="J97" s="184">
        <v>0</v>
      </c>
      <c r="K97" s="26"/>
      <c r="L97" s="74"/>
      <c r="M97" s="184">
        <v>0</v>
      </c>
      <c r="N97" s="26"/>
      <c r="O97" s="74"/>
      <c r="P97" s="184">
        <v>3</v>
      </c>
      <c r="Q97" s="26"/>
      <c r="R97" s="74"/>
      <c r="S97" s="184">
        <v>0</v>
      </c>
      <c r="T97" s="26"/>
      <c r="U97" s="74"/>
      <c r="V97" s="181">
        <f t="shared" si="16"/>
        <v>3</v>
      </c>
      <c r="W97" s="26"/>
      <c r="X97" s="74"/>
      <c r="Z97" s="26"/>
      <c r="AA97" s="26"/>
      <c r="AC97" s="26"/>
      <c r="AF97" s="8"/>
    </row>
    <row r="98" spans="1:32" x14ac:dyDescent="0.25">
      <c r="A98" s="39" t="s">
        <v>16</v>
      </c>
      <c r="B98" s="163">
        <v>0</v>
      </c>
      <c r="C98" s="41" t="s">
        <v>150</v>
      </c>
      <c r="D98" s="184">
        <v>0</v>
      </c>
      <c r="E98" s="26"/>
      <c r="F98" s="74"/>
      <c r="G98" s="184">
        <v>0</v>
      </c>
      <c r="H98" s="26"/>
      <c r="I98" s="74"/>
      <c r="J98" s="184">
        <v>0</v>
      </c>
      <c r="K98" s="26"/>
      <c r="L98" s="74"/>
      <c r="M98" s="184">
        <v>0</v>
      </c>
      <c r="N98" s="26"/>
      <c r="O98" s="74"/>
      <c r="P98" s="184">
        <v>3</v>
      </c>
      <c r="Q98" s="26"/>
      <c r="R98" s="74"/>
      <c r="S98" s="184">
        <v>0</v>
      </c>
      <c r="T98" s="26"/>
      <c r="U98" s="74"/>
      <c r="V98" s="181">
        <f t="shared" si="16"/>
        <v>3</v>
      </c>
      <c r="W98" s="26"/>
      <c r="X98" s="74"/>
      <c r="Z98" s="26"/>
      <c r="AA98" s="26"/>
      <c r="AC98" s="26"/>
      <c r="AF98" s="8"/>
    </row>
    <row r="99" spans="1:32" x14ac:dyDescent="0.25">
      <c r="A99" s="39" t="s">
        <v>16</v>
      </c>
      <c r="B99" s="163">
        <v>0</v>
      </c>
      <c r="C99" s="41" t="s">
        <v>151</v>
      </c>
      <c r="D99" s="184">
        <v>0</v>
      </c>
      <c r="E99" s="26"/>
      <c r="F99" s="74"/>
      <c r="G99" s="184">
        <v>0</v>
      </c>
      <c r="H99" s="26"/>
      <c r="I99" s="74"/>
      <c r="J99" s="184">
        <v>0</v>
      </c>
      <c r="K99" s="26"/>
      <c r="L99" s="74"/>
      <c r="M99" s="184">
        <v>0</v>
      </c>
      <c r="N99" s="26"/>
      <c r="O99" s="74"/>
      <c r="P99" s="184">
        <v>3</v>
      </c>
      <c r="Q99" s="26"/>
      <c r="R99" s="74"/>
      <c r="S99" s="184">
        <v>0</v>
      </c>
      <c r="T99" s="26"/>
      <c r="U99" s="74"/>
      <c r="V99" s="181">
        <f t="shared" si="16"/>
        <v>3</v>
      </c>
      <c r="W99" s="26"/>
      <c r="X99" s="74"/>
      <c r="Z99" s="26"/>
      <c r="AA99" s="26"/>
      <c r="AC99" s="26"/>
      <c r="AF99" s="8"/>
    </row>
    <row r="100" spans="1:32" x14ac:dyDescent="0.25">
      <c r="A100" s="39" t="s">
        <v>16</v>
      </c>
      <c r="B100" s="163">
        <v>0</v>
      </c>
      <c r="C100" s="41" t="s">
        <v>152</v>
      </c>
      <c r="D100" s="184">
        <v>0</v>
      </c>
      <c r="E100" s="26"/>
      <c r="F100" s="74"/>
      <c r="G100" s="184">
        <v>0</v>
      </c>
      <c r="H100" s="26"/>
      <c r="I100" s="74"/>
      <c r="J100" s="184">
        <v>0</v>
      </c>
      <c r="K100" s="26"/>
      <c r="L100" s="74"/>
      <c r="M100" s="184">
        <v>0</v>
      </c>
      <c r="N100" s="26"/>
      <c r="O100" s="74"/>
      <c r="P100" s="184">
        <v>3</v>
      </c>
      <c r="Q100" s="26"/>
      <c r="R100" s="74"/>
      <c r="S100" s="184">
        <v>0</v>
      </c>
      <c r="T100" s="26"/>
      <c r="U100" s="74"/>
      <c r="V100" s="181">
        <f>D100+G100+J100+M100+P100+S100</f>
        <v>3</v>
      </c>
      <c r="W100" s="26"/>
      <c r="X100" s="74"/>
      <c r="Z100" s="26"/>
      <c r="AA100" s="26"/>
      <c r="AC100" s="26"/>
      <c r="AF100" s="8"/>
    </row>
    <row r="101" spans="1:32" x14ac:dyDescent="0.25">
      <c r="A101" s="39" t="s">
        <v>16</v>
      </c>
      <c r="B101" s="163">
        <v>0</v>
      </c>
      <c r="C101" s="41" t="s">
        <v>153</v>
      </c>
      <c r="D101" s="184">
        <v>0</v>
      </c>
      <c r="E101" s="26"/>
      <c r="F101" s="74"/>
      <c r="G101" s="184">
        <v>0</v>
      </c>
      <c r="H101" s="26"/>
      <c r="I101" s="74"/>
      <c r="J101" s="184">
        <v>0</v>
      </c>
      <c r="K101" s="26"/>
      <c r="L101" s="74"/>
      <c r="M101" s="184">
        <v>0</v>
      </c>
      <c r="N101" s="26"/>
      <c r="O101" s="74"/>
      <c r="P101" s="184">
        <v>3</v>
      </c>
      <c r="Q101" s="26"/>
      <c r="R101" s="74"/>
      <c r="S101" s="184">
        <v>0</v>
      </c>
      <c r="T101" s="26"/>
      <c r="U101" s="74"/>
      <c r="V101" s="181">
        <f t="shared" si="16"/>
        <v>3</v>
      </c>
      <c r="W101" s="26"/>
      <c r="X101" s="74"/>
      <c r="Z101" s="26"/>
      <c r="AA101" s="26"/>
      <c r="AC101" s="26"/>
      <c r="AF101" s="8"/>
    </row>
    <row r="102" spans="1:32" x14ac:dyDescent="0.25">
      <c r="A102" s="39" t="s">
        <v>16</v>
      </c>
      <c r="B102" s="163">
        <v>0</v>
      </c>
      <c r="C102" s="41" t="s">
        <v>154</v>
      </c>
      <c r="D102" s="184">
        <v>0</v>
      </c>
      <c r="E102" s="26"/>
      <c r="F102" s="74"/>
      <c r="G102" s="184">
        <v>0</v>
      </c>
      <c r="H102" s="26"/>
      <c r="I102" s="74"/>
      <c r="J102" s="184">
        <v>0</v>
      </c>
      <c r="K102" s="26"/>
      <c r="L102" s="74"/>
      <c r="M102" s="184">
        <v>0</v>
      </c>
      <c r="N102" s="26"/>
      <c r="O102" s="74"/>
      <c r="P102" s="184">
        <v>3</v>
      </c>
      <c r="Q102" s="26"/>
      <c r="R102" s="74"/>
      <c r="S102" s="184">
        <v>0</v>
      </c>
      <c r="T102" s="26"/>
      <c r="U102" s="74"/>
      <c r="V102" s="181">
        <f>D102+G102+J102+M102+P102+S102</f>
        <v>3</v>
      </c>
      <c r="W102" s="26"/>
      <c r="X102" s="74"/>
      <c r="Z102" s="26"/>
      <c r="AA102" s="26"/>
      <c r="AC102" s="26"/>
      <c r="AF102" s="8"/>
    </row>
    <row r="103" spans="1:32" x14ac:dyDescent="0.25">
      <c r="A103" s="39" t="s">
        <v>16</v>
      </c>
      <c r="B103" s="163">
        <v>0</v>
      </c>
      <c r="C103" s="41" t="s">
        <v>155</v>
      </c>
      <c r="D103" s="184">
        <v>0</v>
      </c>
      <c r="E103" s="26"/>
      <c r="F103" s="74"/>
      <c r="G103" s="184">
        <v>0</v>
      </c>
      <c r="H103" s="26"/>
      <c r="I103" s="74"/>
      <c r="J103" s="184">
        <v>0</v>
      </c>
      <c r="K103" s="26"/>
      <c r="L103" s="74"/>
      <c r="M103" s="184">
        <v>0</v>
      </c>
      <c r="N103" s="26"/>
      <c r="O103" s="74"/>
      <c r="P103" s="184">
        <v>3</v>
      </c>
      <c r="Q103" s="26"/>
      <c r="R103" s="74"/>
      <c r="S103" s="184">
        <v>0</v>
      </c>
      <c r="T103" s="26"/>
      <c r="U103" s="74"/>
      <c r="V103" s="181">
        <f t="shared" si="16"/>
        <v>3</v>
      </c>
      <c r="W103" s="26"/>
      <c r="X103" s="74"/>
      <c r="Z103" s="26"/>
      <c r="AA103" s="26"/>
      <c r="AC103" s="26"/>
      <c r="AF103" s="8"/>
    </row>
    <row r="104" spans="1:32" x14ac:dyDescent="0.25">
      <c r="A104" s="39" t="s">
        <v>16</v>
      </c>
      <c r="B104" s="163">
        <v>0</v>
      </c>
      <c r="C104" s="41" t="s">
        <v>156</v>
      </c>
      <c r="D104" s="184">
        <v>0</v>
      </c>
      <c r="E104" s="26"/>
      <c r="F104" s="74"/>
      <c r="G104" s="184">
        <v>0</v>
      </c>
      <c r="H104" s="26"/>
      <c r="I104" s="74"/>
      <c r="J104" s="184">
        <v>0</v>
      </c>
      <c r="K104" s="26"/>
      <c r="L104" s="74"/>
      <c r="M104" s="184">
        <v>0</v>
      </c>
      <c r="N104" s="26"/>
      <c r="O104" s="74"/>
      <c r="P104" s="184">
        <v>3</v>
      </c>
      <c r="Q104" s="26"/>
      <c r="R104" s="74"/>
      <c r="S104" s="184">
        <v>0</v>
      </c>
      <c r="T104" s="26"/>
      <c r="U104" s="74"/>
      <c r="V104" s="181">
        <f t="shared" si="16"/>
        <v>3</v>
      </c>
      <c r="W104" s="26"/>
      <c r="X104" s="74"/>
      <c r="Z104" s="26"/>
      <c r="AA104" s="26"/>
      <c r="AC104" s="26"/>
      <c r="AF104" s="8"/>
    </row>
    <row r="105" spans="1:32" x14ac:dyDescent="0.25">
      <c r="A105" s="39" t="s">
        <v>16</v>
      </c>
      <c r="B105" s="163">
        <v>0</v>
      </c>
      <c r="C105" s="41" t="s">
        <v>157</v>
      </c>
      <c r="D105" s="184">
        <v>0</v>
      </c>
      <c r="E105" s="26"/>
      <c r="F105" s="74"/>
      <c r="G105" s="184">
        <v>0</v>
      </c>
      <c r="H105" s="26"/>
      <c r="I105" s="74"/>
      <c r="J105" s="184">
        <v>0</v>
      </c>
      <c r="K105" s="26"/>
      <c r="L105" s="74"/>
      <c r="M105" s="184">
        <v>0</v>
      </c>
      <c r="N105" s="26"/>
      <c r="O105" s="74"/>
      <c r="P105" s="184">
        <v>3</v>
      </c>
      <c r="Q105" s="26"/>
      <c r="R105" s="74"/>
      <c r="S105" s="184">
        <v>0</v>
      </c>
      <c r="T105" s="26"/>
      <c r="U105" s="74"/>
      <c r="V105" s="181">
        <f t="shared" si="16"/>
        <v>3</v>
      </c>
      <c r="W105" s="26"/>
      <c r="X105" s="74"/>
      <c r="Z105" s="26"/>
      <c r="AA105" s="26"/>
      <c r="AC105" s="26"/>
      <c r="AF105" s="8"/>
    </row>
    <row r="106" spans="1:32" x14ac:dyDescent="0.25">
      <c r="A106" s="39" t="s">
        <v>16</v>
      </c>
      <c r="B106" s="163">
        <v>0</v>
      </c>
      <c r="C106" s="41" t="s">
        <v>158</v>
      </c>
      <c r="D106" s="184">
        <v>0</v>
      </c>
      <c r="E106" s="26"/>
      <c r="F106" s="74"/>
      <c r="G106" s="184">
        <v>0</v>
      </c>
      <c r="H106" s="26"/>
      <c r="I106" s="74"/>
      <c r="J106" s="184">
        <v>0</v>
      </c>
      <c r="K106" s="26"/>
      <c r="L106" s="74"/>
      <c r="M106" s="184">
        <v>0</v>
      </c>
      <c r="N106" s="26"/>
      <c r="O106" s="74"/>
      <c r="P106" s="184">
        <v>3</v>
      </c>
      <c r="Q106" s="26"/>
      <c r="R106" s="74"/>
      <c r="S106" s="184">
        <v>0</v>
      </c>
      <c r="T106" s="26"/>
      <c r="U106" s="74"/>
      <c r="V106" s="181">
        <f t="shared" si="16"/>
        <v>3</v>
      </c>
      <c r="W106" s="26"/>
      <c r="X106" s="74"/>
      <c r="Z106" s="26"/>
      <c r="AA106" s="26"/>
      <c r="AC106" s="26"/>
      <c r="AF106" s="8"/>
    </row>
    <row r="107" spans="1:32" x14ac:dyDescent="0.25">
      <c r="A107" s="39" t="s">
        <v>16</v>
      </c>
      <c r="B107" s="163">
        <v>0</v>
      </c>
      <c r="C107" s="41" t="s">
        <v>159</v>
      </c>
      <c r="D107" s="184">
        <v>0</v>
      </c>
      <c r="E107" s="26"/>
      <c r="F107" s="74"/>
      <c r="G107" s="184">
        <v>0</v>
      </c>
      <c r="H107" s="26"/>
      <c r="I107" s="74"/>
      <c r="J107" s="184">
        <v>0</v>
      </c>
      <c r="K107" s="26"/>
      <c r="L107" s="74"/>
      <c r="M107" s="184">
        <v>0</v>
      </c>
      <c r="N107" s="26"/>
      <c r="O107" s="74"/>
      <c r="P107" s="184">
        <v>3</v>
      </c>
      <c r="Q107" s="26"/>
      <c r="R107" s="74"/>
      <c r="S107" s="184">
        <v>0</v>
      </c>
      <c r="T107" s="26"/>
      <c r="U107" s="74"/>
      <c r="V107" s="181">
        <f t="shared" si="16"/>
        <v>3</v>
      </c>
      <c r="W107" s="26"/>
      <c r="X107" s="74"/>
      <c r="Z107" s="26"/>
      <c r="AA107" s="26"/>
      <c r="AC107" s="26"/>
      <c r="AF107" s="8"/>
    </row>
    <row r="108" spans="1:32" x14ac:dyDescent="0.25">
      <c r="A108" s="39" t="s">
        <v>16</v>
      </c>
      <c r="B108" s="163">
        <v>0</v>
      </c>
      <c r="C108" s="41" t="s">
        <v>160</v>
      </c>
      <c r="D108" s="184">
        <v>0</v>
      </c>
      <c r="E108" s="26"/>
      <c r="F108" s="74"/>
      <c r="G108" s="184">
        <v>0</v>
      </c>
      <c r="H108" s="26"/>
      <c r="I108" s="74"/>
      <c r="J108" s="184">
        <v>0</v>
      </c>
      <c r="K108" s="26"/>
      <c r="L108" s="74"/>
      <c r="M108" s="184">
        <v>0</v>
      </c>
      <c r="N108" s="26"/>
      <c r="O108" s="74"/>
      <c r="P108" s="184">
        <v>3</v>
      </c>
      <c r="Q108" s="26"/>
      <c r="R108" s="74"/>
      <c r="S108" s="184">
        <v>0</v>
      </c>
      <c r="T108" s="26"/>
      <c r="U108" s="74"/>
      <c r="V108" s="181">
        <f t="shared" si="16"/>
        <v>3</v>
      </c>
      <c r="W108" s="26"/>
      <c r="X108" s="74"/>
      <c r="Z108" s="26"/>
      <c r="AA108" s="26"/>
      <c r="AC108" s="26"/>
      <c r="AF108" s="8"/>
    </row>
    <row r="109" spans="1:32" x14ac:dyDescent="0.25">
      <c r="A109" s="39" t="s">
        <v>16</v>
      </c>
      <c r="B109" s="163">
        <v>0</v>
      </c>
      <c r="C109" s="41" t="s">
        <v>161</v>
      </c>
      <c r="D109" s="184">
        <v>0</v>
      </c>
      <c r="E109" s="167"/>
      <c r="F109" s="74"/>
      <c r="G109" s="184">
        <v>0</v>
      </c>
      <c r="I109" s="74"/>
      <c r="J109" s="184">
        <v>0</v>
      </c>
      <c r="L109" s="74"/>
      <c r="M109" s="184">
        <v>0</v>
      </c>
      <c r="O109" s="74"/>
      <c r="P109" s="184">
        <v>12</v>
      </c>
      <c r="R109" s="74"/>
      <c r="S109" s="184">
        <v>57</v>
      </c>
      <c r="U109" s="74"/>
      <c r="V109" s="181">
        <f t="shared" si="16"/>
        <v>69</v>
      </c>
      <c r="X109" s="74"/>
      <c r="Y109" s="167"/>
      <c r="Z109" s="26"/>
      <c r="AA109" s="26"/>
      <c r="AC109" s="26"/>
      <c r="AF109" s="8"/>
    </row>
    <row r="110" spans="1:32" x14ac:dyDescent="0.25">
      <c r="A110" s="39" t="s">
        <v>16</v>
      </c>
      <c r="B110" s="163">
        <v>0</v>
      </c>
      <c r="C110" s="41" t="s">
        <v>162</v>
      </c>
      <c r="D110" s="184">
        <v>0</v>
      </c>
      <c r="F110" s="74"/>
      <c r="G110" s="184">
        <v>0</v>
      </c>
      <c r="I110" s="74"/>
      <c r="J110" s="184">
        <v>0</v>
      </c>
      <c r="L110" s="74"/>
      <c r="M110" s="184">
        <v>0</v>
      </c>
      <c r="O110" s="74"/>
      <c r="P110" s="184">
        <v>3</v>
      </c>
      <c r="R110" s="74"/>
      <c r="S110" s="184">
        <v>0</v>
      </c>
      <c r="U110" s="74"/>
      <c r="V110" s="181">
        <f t="shared" si="16"/>
        <v>3</v>
      </c>
      <c r="X110" s="74"/>
      <c r="Z110" s="26"/>
      <c r="AA110" s="26"/>
      <c r="AC110" s="26"/>
      <c r="AF110" s="8"/>
    </row>
    <row r="111" spans="1:32" x14ac:dyDescent="0.25">
      <c r="A111" s="39" t="s">
        <v>16</v>
      </c>
      <c r="B111" s="163">
        <v>0</v>
      </c>
      <c r="C111" s="41" t="s">
        <v>202</v>
      </c>
      <c r="D111" s="184">
        <v>0</v>
      </c>
      <c r="F111" s="74"/>
      <c r="G111" s="184">
        <v>0</v>
      </c>
      <c r="I111" s="74"/>
      <c r="J111" s="184">
        <v>0</v>
      </c>
      <c r="L111" s="74"/>
      <c r="M111" s="184">
        <v>0</v>
      </c>
      <c r="O111" s="74"/>
      <c r="P111" s="184">
        <v>3</v>
      </c>
      <c r="R111" s="74"/>
      <c r="S111" s="184">
        <v>0</v>
      </c>
      <c r="U111" s="74"/>
      <c r="V111" s="181">
        <f t="shared" si="16"/>
        <v>3</v>
      </c>
      <c r="X111" s="74"/>
      <c r="Z111" s="26"/>
      <c r="AA111" s="26"/>
      <c r="AC111" s="26"/>
      <c r="AF111" s="8"/>
    </row>
    <row r="112" spans="1:32" x14ac:dyDescent="0.25">
      <c r="A112" s="39" t="s">
        <v>16</v>
      </c>
      <c r="B112" s="163">
        <v>0</v>
      </c>
      <c r="C112" s="41" t="s">
        <v>163</v>
      </c>
      <c r="D112" s="184">
        <v>0</v>
      </c>
      <c r="F112" s="74"/>
      <c r="G112" s="184">
        <v>0</v>
      </c>
      <c r="I112" s="74"/>
      <c r="J112" s="184">
        <v>0</v>
      </c>
      <c r="L112" s="74"/>
      <c r="M112" s="184">
        <v>0</v>
      </c>
      <c r="O112" s="74"/>
      <c r="P112" s="184">
        <v>3</v>
      </c>
      <c r="R112" s="74"/>
      <c r="S112" s="184">
        <v>0</v>
      </c>
      <c r="U112" s="74"/>
      <c r="V112" s="181">
        <f t="shared" si="16"/>
        <v>3</v>
      </c>
      <c r="X112" s="74"/>
      <c r="Z112" s="26"/>
      <c r="AA112" s="26"/>
      <c r="AC112" s="26"/>
    </row>
    <row r="113" spans="1:32" x14ac:dyDescent="0.25">
      <c r="A113" s="39" t="s">
        <v>16</v>
      </c>
      <c r="B113" s="163">
        <v>0</v>
      </c>
      <c r="C113" s="41" t="s">
        <v>165</v>
      </c>
      <c r="D113" s="184">
        <v>0</v>
      </c>
      <c r="E113" s="26"/>
      <c r="F113" s="74"/>
      <c r="G113" s="184">
        <v>0</v>
      </c>
      <c r="H113" s="26"/>
      <c r="I113" s="74"/>
      <c r="J113" s="184">
        <v>0</v>
      </c>
      <c r="K113" s="26"/>
      <c r="L113" s="74"/>
      <c r="M113" s="184">
        <v>0</v>
      </c>
      <c r="N113" s="26"/>
      <c r="O113" s="74"/>
      <c r="P113" s="184">
        <v>3</v>
      </c>
      <c r="Q113" s="26"/>
      <c r="R113" s="74"/>
      <c r="S113" s="184">
        <v>0</v>
      </c>
      <c r="T113" s="26"/>
      <c r="U113" s="74"/>
      <c r="V113" s="181">
        <f t="shared" si="16"/>
        <v>3</v>
      </c>
      <c r="W113" s="26"/>
      <c r="X113" s="74"/>
      <c r="Z113" s="26"/>
      <c r="AA113" s="26"/>
      <c r="AC113" s="26"/>
      <c r="AF113" s="8"/>
    </row>
    <row r="114" spans="1:32" x14ac:dyDescent="0.25">
      <c r="A114" s="39" t="s">
        <v>16</v>
      </c>
      <c r="B114" s="163">
        <v>0</v>
      </c>
      <c r="C114" s="41" t="s">
        <v>166</v>
      </c>
      <c r="D114" s="184">
        <v>0</v>
      </c>
      <c r="E114" s="26"/>
      <c r="F114" s="74"/>
      <c r="G114" s="184">
        <v>0</v>
      </c>
      <c r="H114" s="26"/>
      <c r="I114" s="74"/>
      <c r="J114" s="184">
        <v>0</v>
      </c>
      <c r="K114" s="26"/>
      <c r="L114" s="74"/>
      <c r="M114" s="184">
        <v>0</v>
      </c>
      <c r="N114" s="26"/>
      <c r="O114" s="74"/>
      <c r="P114" s="184">
        <v>3</v>
      </c>
      <c r="Q114" s="26"/>
      <c r="R114" s="74"/>
      <c r="S114" s="184">
        <v>0</v>
      </c>
      <c r="T114" s="26"/>
      <c r="U114" s="74"/>
      <c r="V114" s="181">
        <f t="shared" si="16"/>
        <v>3</v>
      </c>
      <c r="W114" s="26"/>
      <c r="X114" s="74"/>
      <c r="Z114" s="26"/>
      <c r="AA114" s="26"/>
      <c r="AC114" s="26"/>
      <c r="AF114" s="8"/>
    </row>
    <row r="115" spans="1:32" x14ac:dyDescent="0.25">
      <c r="A115" s="39" t="s">
        <v>16</v>
      </c>
      <c r="B115" s="163">
        <v>0</v>
      </c>
      <c r="C115" s="41" t="s">
        <v>167</v>
      </c>
      <c r="D115" s="184">
        <v>0</v>
      </c>
      <c r="E115" s="26"/>
      <c r="F115" s="74"/>
      <c r="G115" s="184">
        <v>0</v>
      </c>
      <c r="H115" s="26"/>
      <c r="I115" s="74"/>
      <c r="J115" s="184">
        <v>0</v>
      </c>
      <c r="K115" s="26"/>
      <c r="L115" s="74"/>
      <c r="M115" s="184">
        <v>0</v>
      </c>
      <c r="N115" s="26"/>
      <c r="O115" s="74"/>
      <c r="P115" s="184">
        <v>3</v>
      </c>
      <c r="Q115" s="26"/>
      <c r="R115" s="74"/>
      <c r="S115" s="184">
        <v>0</v>
      </c>
      <c r="T115" s="26"/>
      <c r="U115" s="74"/>
      <c r="V115" s="181">
        <f t="shared" si="16"/>
        <v>3</v>
      </c>
      <c r="W115" s="26"/>
      <c r="X115" s="74"/>
      <c r="Z115" s="26"/>
      <c r="AA115" s="26"/>
      <c r="AC115" s="26"/>
      <c r="AF115" s="8"/>
    </row>
    <row r="116" spans="1:32" x14ac:dyDescent="0.25">
      <c r="A116" s="39" t="s">
        <v>16</v>
      </c>
      <c r="B116" s="163">
        <v>0</v>
      </c>
      <c r="C116" s="41" t="s">
        <v>171</v>
      </c>
      <c r="D116" s="184">
        <v>0</v>
      </c>
      <c r="E116" s="26"/>
      <c r="F116" s="74"/>
      <c r="G116" s="184">
        <v>0</v>
      </c>
      <c r="H116" s="26"/>
      <c r="I116" s="74"/>
      <c r="J116" s="184">
        <v>0</v>
      </c>
      <c r="K116" s="26"/>
      <c r="L116" s="74"/>
      <c r="M116" s="184">
        <v>0</v>
      </c>
      <c r="N116" s="26"/>
      <c r="O116" s="74"/>
      <c r="P116" s="184">
        <v>0</v>
      </c>
      <c r="Q116" s="26"/>
      <c r="R116" s="74"/>
      <c r="S116" s="184">
        <v>0</v>
      </c>
      <c r="T116" s="26"/>
      <c r="U116" s="74"/>
      <c r="V116" s="181">
        <f t="shared" si="16"/>
        <v>0</v>
      </c>
      <c r="W116" s="26"/>
      <c r="X116" s="74"/>
      <c r="Z116" s="26"/>
      <c r="AA116" s="26"/>
      <c r="AC116" s="26"/>
      <c r="AF116" s="8"/>
    </row>
    <row r="117" spans="1:32" x14ac:dyDescent="0.25">
      <c r="A117" s="39" t="s">
        <v>16</v>
      </c>
      <c r="B117" s="163">
        <v>0</v>
      </c>
      <c r="C117" s="41" t="s">
        <v>172</v>
      </c>
      <c r="D117" s="184">
        <v>0</v>
      </c>
      <c r="E117" s="26"/>
      <c r="F117" s="26"/>
      <c r="G117" s="184">
        <v>0</v>
      </c>
      <c r="H117" s="26"/>
      <c r="I117" s="26"/>
      <c r="J117" s="184">
        <v>0</v>
      </c>
      <c r="K117" s="26"/>
      <c r="L117" s="26"/>
      <c r="M117" s="184">
        <v>0</v>
      </c>
      <c r="N117" s="26"/>
      <c r="O117" s="26"/>
      <c r="P117" s="184">
        <v>0</v>
      </c>
      <c r="Q117" s="26"/>
      <c r="R117" s="26"/>
      <c r="S117" s="184">
        <v>0</v>
      </c>
      <c r="T117" s="26"/>
      <c r="U117" s="26"/>
      <c r="V117" s="181">
        <f t="shared" si="16"/>
        <v>0</v>
      </c>
      <c r="W117" s="26"/>
      <c r="X117" s="26"/>
      <c r="Z117" s="26"/>
      <c r="AA117" s="26"/>
      <c r="AC117" s="26"/>
      <c r="AF117" s="8"/>
    </row>
    <row r="118" spans="1:32" x14ac:dyDescent="0.25">
      <c r="A118" s="60" t="s">
        <v>53</v>
      </c>
      <c r="B118" s="157">
        <f>SUM(B80:B117)</f>
        <v>0</v>
      </c>
      <c r="C118" s="158"/>
      <c r="D118" s="157">
        <f>SUM(D80:D117)</f>
        <v>0</v>
      </c>
      <c r="F118" s="26"/>
      <c r="G118" s="157">
        <f>SUM(G80:G117)</f>
        <v>0</v>
      </c>
      <c r="I118" s="26"/>
      <c r="J118" s="157">
        <f>SUM(J80:J117)</f>
        <v>0</v>
      </c>
      <c r="L118" s="26"/>
      <c r="M118" s="157">
        <f>SUM(M80:M117)</f>
        <v>0</v>
      </c>
      <c r="O118" s="26"/>
      <c r="P118" s="157">
        <f>SUM(P80:P117)</f>
        <v>88</v>
      </c>
      <c r="R118" s="26"/>
      <c r="S118" s="157">
        <f>SUM(S80:S117)</f>
        <v>59</v>
      </c>
      <c r="U118" s="26"/>
      <c r="V118" s="157">
        <f>SUM(V80:V117)</f>
        <v>147</v>
      </c>
      <c r="X118" s="26"/>
      <c r="Z118" s="26"/>
      <c r="AA118" s="26"/>
      <c r="AC118" s="26"/>
    </row>
    <row r="119" spans="1:32" x14ac:dyDescent="0.25">
      <c r="F119" s="26"/>
      <c r="I119" s="26"/>
      <c r="L119" s="26"/>
      <c r="O119" s="26"/>
      <c r="R119" s="26"/>
      <c r="U119" s="26"/>
      <c r="V119" s="8"/>
      <c r="X119" s="26"/>
      <c r="Y119" s="173"/>
      <c r="Z119" s="26"/>
      <c r="AA119" s="26"/>
    </row>
    <row r="120" spans="1:32" ht="15.75" thickBot="1" x14ac:dyDescent="0.3">
      <c r="A120" s="26"/>
      <c r="B120" s="86"/>
      <c r="V120" s="8"/>
      <c r="Y120" s="173"/>
      <c r="Z120" s="26"/>
    </row>
    <row r="121" spans="1:32" x14ac:dyDescent="0.25">
      <c r="A121" s="171" t="s">
        <v>129</v>
      </c>
      <c r="V121" s="8"/>
      <c r="Y121" s="173"/>
      <c r="Z121" s="26"/>
    </row>
    <row r="122" spans="1:32" x14ac:dyDescent="0.25">
      <c r="A122" s="169" t="s">
        <v>126</v>
      </c>
      <c r="V122" s="8"/>
      <c r="Y122" s="173"/>
      <c r="Z122" s="26"/>
    </row>
    <row r="123" spans="1:32" x14ac:dyDescent="0.25">
      <c r="A123" s="169" t="s">
        <v>127</v>
      </c>
      <c r="V123" s="8"/>
      <c r="Y123" s="173"/>
    </row>
    <row r="124" spans="1:32" ht="15.75" thickBot="1" x14ac:dyDescent="0.3">
      <c r="A124" s="170" t="s">
        <v>128</v>
      </c>
      <c r="Y124" s="173"/>
    </row>
    <row r="125" spans="1:32" ht="15.75" thickBot="1" x14ac:dyDescent="0.3">
      <c r="Y125" s="173"/>
    </row>
    <row r="126" spans="1:32" x14ac:dyDescent="0.25">
      <c r="A126" s="171" t="s">
        <v>187</v>
      </c>
      <c r="V126" s="8"/>
      <c r="Y126" s="173"/>
      <c r="Z126" s="26"/>
    </row>
    <row r="127" spans="1:32" x14ac:dyDescent="0.25">
      <c r="A127" s="169" t="s">
        <v>188</v>
      </c>
      <c r="V127" s="8"/>
      <c r="Y127" s="173"/>
    </row>
    <row r="128" spans="1:32" ht="15.75" thickBot="1" x14ac:dyDescent="0.3">
      <c r="A128" s="170"/>
      <c r="Y128" s="173"/>
    </row>
    <row r="129" spans="1:25" ht="15.75" thickBot="1" x14ac:dyDescent="0.3">
      <c r="Y129" s="173"/>
    </row>
    <row r="130" spans="1:25" x14ac:dyDescent="0.25">
      <c r="A130" s="171" t="s">
        <v>250</v>
      </c>
      <c r="Y130" s="173"/>
    </row>
    <row r="131" spans="1:25" x14ac:dyDescent="0.25">
      <c r="A131" s="169" t="s">
        <v>251</v>
      </c>
    </row>
    <row r="132" spans="1:25" ht="15.75" thickBot="1" x14ac:dyDescent="0.3">
      <c r="A132" s="170"/>
    </row>
  </sheetData>
  <pageMargins left="0.7" right="0.7" top="0.75" bottom="0.75" header="0.3" footer="0.3"/>
  <pageSetup paperSize="9" scale="94" fitToHeight="0"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V145"/>
  <sheetViews>
    <sheetView workbookViewId="0"/>
  </sheetViews>
  <sheetFormatPr defaultRowHeight="15" x14ac:dyDescent="0.25"/>
  <cols>
    <col min="1" max="1" width="44.5703125" bestFit="1" customWidth="1"/>
    <col min="2" max="2" width="36.7109375" bestFit="1" customWidth="1"/>
    <col min="3" max="3" width="8.85546875" style="1"/>
    <col min="6" max="6" width="8.85546875" style="1"/>
    <col min="9" max="9" width="8.85546875" style="1"/>
    <col min="12" max="12" width="10.28515625" customWidth="1"/>
  </cols>
  <sheetData>
    <row r="1" spans="1:18" x14ac:dyDescent="0.25">
      <c r="A1" s="174" t="s">
        <v>27</v>
      </c>
      <c r="B1" s="174" t="s">
        <v>28</v>
      </c>
      <c r="C1" s="175"/>
      <c r="D1" s="175"/>
      <c r="E1" s="175"/>
      <c r="F1" s="175"/>
      <c r="G1" s="175"/>
      <c r="H1" s="175"/>
      <c r="I1" s="175"/>
      <c r="J1" s="175"/>
      <c r="K1" s="175"/>
      <c r="L1" s="176"/>
      <c r="M1" s="149"/>
      <c r="N1" s="150"/>
      <c r="O1" s="150"/>
      <c r="P1" s="150"/>
      <c r="Q1" s="150"/>
      <c r="R1" s="8"/>
    </row>
    <row r="2" spans="1:18" ht="15.75" thickBot="1" x14ac:dyDescent="0.3">
      <c r="A2" s="212"/>
      <c r="B2" s="212"/>
      <c r="C2" s="213"/>
      <c r="D2" s="213"/>
      <c r="E2" s="213"/>
      <c r="F2" s="213"/>
      <c r="G2" s="213"/>
      <c r="H2" s="213"/>
      <c r="I2" s="213"/>
      <c r="J2" s="213"/>
      <c r="K2" s="213"/>
      <c r="L2" s="214"/>
      <c r="R2" s="8"/>
    </row>
    <row r="3" spans="1:18" ht="30.75" thickBot="1" x14ac:dyDescent="0.3">
      <c r="A3" s="198" t="s">
        <v>77</v>
      </c>
      <c r="B3" s="198"/>
      <c r="C3" s="200" t="s">
        <v>211</v>
      </c>
      <c r="D3" s="206"/>
      <c r="E3" s="206"/>
      <c r="F3" s="200" t="s">
        <v>212</v>
      </c>
      <c r="G3" s="206"/>
      <c r="H3" s="206"/>
      <c r="I3" s="200" t="s">
        <v>213</v>
      </c>
      <c r="J3" s="206"/>
      <c r="K3" s="206"/>
      <c r="L3" s="207" t="s">
        <v>215</v>
      </c>
      <c r="O3" s="59"/>
      <c r="R3" s="59"/>
    </row>
    <row r="4" spans="1:18" x14ac:dyDescent="0.25">
      <c r="A4" s="179" t="s">
        <v>9</v>
      </c>
      <c r="B4" s="179" t="s">
        <v>77</v>
      </c>
      <c r="C4" s="211">
        <v>0</v>
      </c>
      <c r="F4" s="211">
        <v>0</v>
      </c>
      <c r="I4" s="211">
        <v>0</v>
      </c>
      <c r="L4" s="210">
        <f>C4+F4+I4</f>
        <v>0</v>
      </c>
      <c r="O4" s="26"/>
    </row>
    <row r="5" spans="1:18" x14ac:dyDescent="0.25">
      <c r="A5" s="39" t="s">
        <v>29</v>
      </c>
      <c r="B5" s="39" t="s">
        <v>77</v>
      </c>
      <c r="C5" s="211">
        <v>0</v>
      </c>
      <c r="D5" s="92" t="s">
        <v>84</v>
      </c>
      <c r="E5" s="92" t="s">
        <v>85</v>
      </c>
      <c r="F5" s="211">
        <v>0</v>
      </c>
      <c r="G5" s="92" t="s">
        <v>84</v>
      </c>
      <c r="H5" s="92" t="s">
        <v>85</v>
      </c>
      <c r="I5" s="211">
        <v>0</v>
      </c>
      <c r="J5" s="92" t="s">
        <v>84</v>
      </c>
      <c r="K5" s="92" t="s">
        <v>85</v>
      </c>
      <c r="L5" s="210">
        <f>C5+F5+I5</f>
        <v>0</v>
      </c>
      <c r="M5" s="208" t="s">
        <v>84</v>
      </c>
      <c r="N5" s="208" t="s">
        <v>85</v>
      </c>
    </row>
    <row r="6" spans="1:18" x14ac:dyDescent="0.25">
      <c r="A6" s="89" t="s">
        <v>53</v>
      </c>
      <c r="B6" s="161"/>
      <c r="C6" s="211">
        <v>0</v>
      </c>
      <c r="D6" s="157">
        <f>C4+C5</f>
        <v>0</v>
      </c>
      <c r="E6" s="157">
        <f>C6-D6</f>
        <v>0</v>
      </c>
      <c r="F6" s="211">
        <v>0</v>
      </c>
      <c r="G6" s="157">
        <f>F4+F5</f>
        <v>0</v>
      </c>
      <c r="H6" s="157">
        <f>F6-G6</f>
        <v>0</v>
      </c>
      <c r="I6" s="211">
        <v>0</v>
      </c>
      <c r="J6" s="157">
        <f>I4+I5</f>
        <v>0</v>
      </c>
      <c r="K6" s="157">
        <f>I6-J6</f>
        <v>0</v>
      </c>
      <c r="L6" s="159">
        <f t="shared" ref="L6" si="0">SUM(L4:L5)</f>
        <v>0</v>
      </c>
      <c r="M6" s="157">
        <f>L4+L5</f>
        <v>0</v>
      </c>
      <c r="N6" s="157">
        <f>L6-M6</f>
        <v>0</v>
      </c>
    </row>
    <row r="7" spans="1:18" x14ac:dyDescent="0.25">
      <c r="A7" s="39"/>
      <c r="B7" s="39"/>
      <c r="L7" s="26"/>
    </row>
    <row r="8" spans="1:18" ht="15.75" thickBot="1" x14ac:dyDescent="0.3">
      <c r="A8" s="203"/>
      <c r="B8" s="203"/>
      <c r="L8" s="26"/>
      <c r="O8" s="26"/>
    </row>
    <row r="9" spans="1:18" ht="30.75" thickBot="1" x14ac:dyDescent="0.3">
      <c r="A9" s="205" t="s">
        <v>1</v>
      </c>
      <c r="B9" s="206"/>
      <c r="C9" s="200" t="s">
        <v>211</v>
      </c>
      <c r="D9" s="206"/>
      <c r="E9" s="206"/>
      <c r="F9" s="200" t="s">
        <v>212</v>
      </c>
      <c r="G9" s="206"/>
      <c r="H9" s="206"/>
      <c r="I9" s="200" t="s">
        <v>213</v>
      </c>
      <c r="J9" s="206"/>
      <c r="K9" s="206"/>
      <c r="L9" s="207" t="s">
        <v>215</v>
      </c>
    </row>
    <row r="10" spans="1:18" x14ac:dyDescent="0.25">
      <c r="A10" s="179" t="s">
        <v>9</v>
      </c>
      <c r="B10" s="179" t="s">
        <v>121</v>
      </c>
      <c r="C10" s="211">
        <v>0</v>
      </c>
      <c r="E10" s="26"/>
      <c r="F10" s="211">
        <v>0</v>
      </c>
      <c r="H10" s="26"/>
      <c r="I10" s="211">
        <v>0</v>
      </c>
      <c r="K10" s="26"/>
      <c r="L10" s="210">
        <f t="shared" ref="L10:L16" si="1">C10+F10+I10</f>
        <v>0</v>
      </c>
      <c r="N10" s="26"/>
      <c r="P10" s="173"/>
    </row>
    <row r="11" spans="1:18" x14ac:dyDescent="0.25">
      <c r="A11" s="39" t="s">
        <v>12</v>
      </c>
      <c r="B11" s="39" t="s">
        <v>123</v>
      </c>
      <c r="C11" s="211">
        <v>0</v>
      </c>
      <c r="D11" s="26"/>
      <c r="E11" s="26"/>
      <c r="F11" s="211">
        <v>0</v>
      </c>
      <c r="G11" s="26"/>
      <c r="H11" s="26"/>
      <c r="I11" s="211">
        <v>0</v>
      </c>
      <c r="J11" s="26"/>
      <c r="K11" s="26"/>
      <c r="L11" s="210">
        <f t="shared" si="1"/>
        <v>0</v>
      </c>
      <c r="M11" s="26"/>
      <c r="N11" s="26"/>
      <c r="P11" s="173"/>
    </row>
    <row r="12" spans="1:18" x14ac:dyDescent="0.25">
      <c r="A12" s="39" t="s">
        <v>9</v>
      </c>
      <c r="B12" s="39" t="s">
        <v>123</v>
      </c>
      <c r="C12" s="211">
        <v>0</v>
      </c>
      <c r="E12" s="167"/>
      <c r="F12" s="211">
        <v>0</v>
      </c>
      <c r="H12" s="167"/>
      <c r="I12" s="211">
        <v>0</v>
      </c>
      <c r="K12" s="167"/>
      <c r="L12" s="210">
        <f t="shared" si="1"/>
        <v>0</v>
      </c>
      <c r="N12" s="167"/>
      <c r="O12" s="26"/>
      <c r="P12" s="173"/>
    </row>
    <row r="13" spans="1:18" x14ac:dyDescent="0.25">
      <c r="A13" s="39" t="s">
        <v>48</v>
      </c>
      <c r="B13" s="39" t="s">
        <v>1</v>
      </c>
      <c r="C13" s="211">
        <v>0</v>
      </c>
      <c r="F13" s="211">
        <v>0</v>
      </c>
      <c r="I13" s="211">
        <v>0</v>
      </c>
      <c r="L13" s="210">
        <f t="shared" si="1"/>
        <v>0</v>
      </c>
      <c r="O13" s="59"/>
    </row>
    <row r="14" spans="1:18" x14ac:dyDescent="0.25">
      <c r="A14" s="39" t="s">
        <v>48</v>
      </c>
      <c r="B14" s="39" t="s">
        <v>1</v>
      </c>
      <c r="C14" s="211">
        <v>0</v>
      </c>
      <c r="F14" s="211">
        <v>0</v>
      </c>
      <c r="I14" s="211">
        <v>0</v>
      </c>
      <c r="L14" s="210">
        <f t="shared" si="1"/>
        <v>0</v>
      </c>
      <c r="O14" s="26"/>
    </row>
    <row r="15" spans="1:18" x14ac:dyDescent="0.25">
      <c r="A15" s="39" t="s">
        <v>50</v>
      </c>
      <c r="B15" s="39" t="s">
        <v>1</v>
      </c>
      <c r="C15" s="211">
        <v>0</v>
      </c>
      <c r="F15" s="211">
        <v>0</v>
      </c>
      <c r="I15" s="211">
        <v>0</v>
      </c>
      <c r="L15" s="210">
        <f t="shared" si="1"/>
        <v>0</v>
      </c>
      <c r="Q15" s="26"/>
    </row>
    <row r="16" spans="1:18" x14ac:dyDescent="0.25">
      <c r="A16" s="39" t="s">
        <v>50</v>
      </c>
      <c r="B16" s="39" t="s">
        <v>1</v>
      </c>
      <c r="C16" s="211">
        <v>0</v>
      </c>
      <c r="D16" s="92" t="s">
        <v>84</v>
      </c>
      <c r="E16" s="92" t="s">
        <v>85</v>
      </c>
      <c r="F16" s="211">
        <v>0</v>
      </c>
      <c r="G16" s="92" t="s">
        <v>84</v>
      </c>
      <c r="H16" s="92" t="s">
        <v>85</v>
      </c>
      <c r="I16" s="211">
        <v>0</v>
      </c>
      <c r="J16" s="92" t="s">
        <v>84</v>
      </c>
      <c r="K16" s="92" t="s">
        <v>85</v>
      </c>
      <c r="L16" s="210">
        <f t="shared" si="1"/>
        <v>0</v>
      </c>
      <c r="M16" s="208" t="s">
        <v>84</v>
      </c>
      <c r="N16" s="208" t="s">
        <v>85</v>
      </c>
      <c r="Q16" s="26"/>
    </row>
    <row r="17" spans="1:18" x14ac:dyDescent="0.25">
      <c r="A17" s="89" t="s">
        <v>53</v>
      </c>
      <c r="B17" s="161"/>
      <c r="C17" s="159">
        <f>SUM(C10:C16)</f>
        <v>0</v>
      </c>
      <c r="D17" s="157">
        <f>C10+C12+C13+C14+C15+C16</f>
        <v>0</v>
      </c>
      <c r="E17" s="157">
        <f>C17-D17</f>
        <v>0</v>
      </c>
      <c r="F17" s="159">
        <f>SUM(F10:F16)</f>
        <v>0</v>
      </c>
      <c r="G17" s="157">
        <f>F10+F12+F13+F14+F15+F16</f>
        <v>0</v>
      </c>
      <c r="H17" s="157">
        <f>F17-G17</f>
        <v>0</v>
      </c>
      <c r="I17" s="159">
        <f>SUM(I10:I16)</f>
        <v>0</v>
      </c>
      <c r="J17" s="157">
        <f>I10+I12+I13+I14+I15+I16</f>
        <v>0</v>
      </c>
      <c r="K17" s="157">
        <f>I17-J17</f>
        <v>0</v>
      </c>
      <c r="L17" s="159">
        <f>SUM(L10:L16)</f>
        <v>0</v>
      </c>
      <c r="M17" s="157">
        <f>L10+L12+L13+L14+L15+L16</f>
        <v>0</v>
      </c>
      <c r="N17" s="157">
        <f>L17-M17</f>
        <v>0</v>
      </c>
      <c r="Q17" s="26"/>
    </row>
    <row r="18" spans="1:18" x14ac:dyDescent="0.25">
      <c r="A18" s="39"/>
      <c r="B18" s="39"/>
      <c r="E18" s="26"/>
      <c r="H18" s="26"/>
      <c r="K18" s="26"/>
      <c r="L18" s="26"/>
      <c r="N18" s="26"/>
      <c r="Q18" s="26"/>
    </row>
    <row r="19" spans="1:18" ht="15.75" thickBot="1" x14ac:dyDescent="0.3">
      <c r="A19" s="203"/>
      <c r="B19" s="203"/>
      <c r="E19" s="26"/>
      <c r="H19" s="26"/>
      <c r="K19" s="26"/>
      <c r="L19" s="26"/>
      <c r="N19" s="26"/>
      <c r="Q19" s="26"/>
    </row>
    <row r="20" spans="1:18" ht="30.75" thickBot="1" x14ac:dyDescent="0.3">
      <c r="A20" s="205" t="s">
        <v>3</v>
      </c>
      <c r="B20" s="206"/>
      <c r="C20" s="200" t="s">
        <v>211</v>
      </c>
      <c r="D20" s="206"/>
      <c r="E20" s="206"/>
      <c r="F20" s="200" t="s">
        <v>212</v>
      </c>
      <c r="G20" s="206"/>
      <c r="H20" s="206"/>
      <c r="I20" s="200" t="s">
        <v>213</v>
      </c>
      <c r="J20" s="206"/>
      <c r="K20" s="206"/>
      <c r="L20" s="207" t="s">
        <v>215</v>
      </c>
      <c r="N20" s="26"/>
      <c r="Q20" s="26"/>
    </row>
    <row r="21" spans="1:18" x14ac:dyDescent="0.25">
      <c r="A21" s="179" t="s">
        <v>9</v>
      </c>
      <c r="B21" s="179" t="s">
        <v>30</v>
      </c>
      <c r="C21" s="211">
        <v>0</v>
      </c>
      <c r="E21" s="26"/>
      <c r="F21" s="211">
        <v>0</v>
      </c>
      <c r="H21" s="26"/>
      <c r="I21" s="211">
        <v>0</v>
      </c>
      <c r="K21" s="26"/>
      <c r="L21" s="210">
        <f t="shared" ref="L21:L23" si="2">C21+F21+I21</f>
        <v>0</v>
      </c>
      <c r="N21" s="26"/>
      <c r="Q21" s="26"/>
    </row>
    <row r="22" spans="1:18" x14ac:dyDescent="0.25">
      <c r="A22" s="39" t="s">
        <v>14</v>
      </c>
      <c r="B22" s="39" t="s">
        <v>30</v>
      </c>
      <c r="C22" s="211">
        <v>0</v>
      </c>
      <c r="E22" s="26"/>
      <c r="F22" s="211">
        <v>0</v>
      </c>
      <c r="H22" s="26"/>
      <c r="I22" s="211">
        <v>0</v>
      </c>
      <c r="K22" s="26"/>
      <c r="L22" s="210">
        <f t="shared" si="2"/>
        <v>0</v>
      </c>
      <c r="N22" s="26"/>
      <c r="Q22" s="26"/>
    </row>
    <row r="23" spans="1:18" x14ac:dyDescent="0.25">
      <c r="A23" s="39" t="s">
        <v>29</v>
      </c>
      <c r="B23" s="39" t="s">
        <v>30</v>
      </c>
      <c r="C23" s="211">
        <v>0</v>
      </c>
      <c r="D23" s="92" t="s">
        <v>84</v>
      </c>
      <c r="E23" s="92" t="s">
        <v>85</v>
      </c>
      <c r="F23" s="211">
        <v>0</v>
      </c>
      <c r="G23" s="92" t="s">
        <v>84</v>
      </c>
      <c r="H23" s="92" t="s">
        <v>85</v>
      </c>
      <c r="I23" s="211">
        <v>0</v>
      </c>
      <c r="J23" s="92" t="s">
        <v>84</v>
      </c>
      <c r="K23" s="92" t="s">
        <v>85</v>
      </c>
      <c r="L23" s="210">
        <f t="shared" si="2"/>
        <v>0</v>
      </c>
      <c r="M23" s="208" t="s">
        <v>84</v>
      </c>
      <c r="N23" s="208" t="s">
        <v>85</v>
      </c>
      <c r="Q23" s="26"/>
    </row>
    <row r="24" spans="1:18" x14ac:dyDescent="0.25">
      <c r="A24" s="89" t="s">
        <v>53</v>
      </c>
      <c r="B24" s="160"/>
      <c r="C24" s="159">
        <f>SUM(C21:C23)</f>
        <v>0</v>
      </c>
      <c r="D24" s="157">
        <f>C21+C22+C24</f>
        <v>0</v>
      </c>
      <c r="E24" s="157">
        <f>C24-D24</f>
        <v>0</v>
      </c>
      <c r="F24" s="159">
        <f>SUM(F21:F23)</f>
        <v>0</v>
      </c>
      <c r="G24" s="157">
        <f>F21+F22+F24</f>
        <v>0</v>
      </c>
      <c r="H24" s="157">
        <f>F24-G24</f>
        <v>0</v>
      </c>
      <c r="I24" s="159">
        <f>SUM(I21:I23)</f>
        <v>0</v>
      </c>
      <c r="J24" s="157">
        <f>I21+I22+I24</f>
        <v>0</v>
      </c>
      <c r="K24" s="157">
        <f>I24-J24</f>
        <v>0</v>
      </c>
      <c r="L24" s="159">
        <f>SUM(L21:L23)</f>
        <v>0</v>
      </c>
      <c r="M24" s="157">
        <f>L21+L22+L24</f>
        <v>0</v>
      </c>
      <c r="N24" s="157">
        <f>L24-M24</f>
        <v>0</v>
      </c>
      <c r="Q24" s="26"/>
    </row>
    <row r="25" spans="1:18" x14ac:dyDescent="0.25">
      <c r="A25" s="39"/>
      <c r="B25" s="39"/>
      <c r="E25" s="26"/>
      <c r="H25" s="26"/>
      <c r="K25" s="26"/>
      <c r="L25" s="26"/>
      <c r="N25" s="26"/>
      <c r="Q25" s="26"/>
    </row>
    <row r="26" spans="1:18" ht="15.75" thickBot="1" x14ac:dyDescent="0.3">
      <c r="A26" s="203"/>
      <c r="B26" s="203"/>
      <c r="E26" s="26"/>
      <c r="H26" s="26"/>
      <c r="K26" s="26"/>
      <c r="L26" s="26"/>
      <c r="N26" s="26"/>
      <c r="Q26" s="26"/>
    </row>
    <row r="27" spans="1:18" ht="30.75" thickBot="1" x14ac:dyDescent="0.3">
      <c r="A27" s="205" t="s">
        <v>33</v>
      </c>
      <c r="B27" s="206"/>
      <c r="C27" s="200" t="s">
        <v>211</v>
      </c>
      <c r="D27" s="206"/>
      <c r="E27" s="206"/>
      <c r="F27" s="200" t="s">
        <v>212</v>
      </c>
      <c r="G27" s="206"/>
      <c r="H27" s="206"/>
      <c r="I27" s="200" t="s">
        <v>213</v>
      </c>
      <c r="J27" s="206"/>
      <c r="K27" s="206"/>
      <c r="L27" s="207" t="s">
        <v>215</v>
      </c>
      <c r="N27" s="26"/>
      <c r="Q27" s="26"/>
    </row>
    <row r="28" spans="1:18" x14ac:dyDescent="0.25">
      <c r="A28" s="179" t="s">
        <v>11</v>
      </c>
      <c r="B28" s="179" t="s">
        <v>203</v>
      </c>
      <c r="C28" s="211">
        <v>0</v>
      </c>
      <c r="D28" s="26"/>
      <c r="E28" s="26"/>
      <c r="F28" s="211">
        <v>0</v>
      </c>
      <c r="G28" s="26"/>
      <c r="H28" s="26"/>
      <c r="I28" s="211">
        <v>0</v>
      </c>
      <c r="J28" s="26"/>
      <c r="K28" s="26"/>
      <c r="L28" s="210">
        <f t="shared" ref="L28:L50" si="3">C28+F28+I28</f>
        <v>0</v>
      </c>
      <c r="M28" s="26"/>
      <c r="N28" s="26"/>
      <c r="O28" s="173"/>
      <c r="Q28" s="26"/>
    </row>
    <row r="29" spans="1:18" x14ac:dyDescent="0.25">
      <c r="A29" s="39" t="s">
        <v>12</v>
      </c>
      <c r="B29" s="39" t="s">
        <v>117</v>
      </c>
      <c r="C29" s="211">
        <v>0</v>
      </c>
      <c r="D29" s="26"/>
      <c r="E29" s="26"/>
      <c r="F29" s="211">
        <v>0</v>
      </c>
      <c r="G29" s="26"/>
      <c r="H29" s="26"/>
      <c r="I29" s="211">
        <v>0</v>
      </c>
      <c r="J29" s="26"/>
      <c r="K29" s="26"/>
      <c r="L29" s="210">
        <f t="shared" si="3"/>
        <v>0</v>
      </c>
      <c r="M29" s="26"/>
      <c r="N29" s="26"/>
      <c r="O29" s="173"/>
      <c r="Q29" s="26"/>
      <c r="R29" s="74"/>
    </row>
    <row r="30" spans="1:18" x14ac:dyDescent="0.25">
      <c r="A30" s="39" t="s">
        <v>12</v>
      </c>
      <c r="B30" s="39" t="s">
        <v>116</v>
      </c>
      <c r="C30" s="211">
        <v>0</v>
      </c>
      <c r="D30" s="26"/>
      <c r="E30" s="26"/>
      <c r="F30" s="211">
        <v>0</v>
      </c>
      <c r="G30" s="26"/>
      <c r="H30" s="26"/>
      <c r="I30" s="211">
        <v>0</v>
      </c>
      <c r="J30" s="26"/>
      <c r="K30" s="26"/>
      <c r="L30" s="210">
        <f t="shared" si="3"/>
        <v>0</v>
      </c>
      <c r="M30" s="26"/>
      <c r="N30" s="26"/>
      <c r="O30" s="173"/>
      <c r="Q30" s="26"/>
      <c r="R30" s="74"/>
    </row>
    <row r="31" spans="1:18" x14ac:dyDescent="0.25">
      <c r="A31" s="39" t="s">
        <v>10</v>
      </c>
      <c r="B31" s="39" t="s">
        <v>7</v>
      </c>
      <c r="C31" s="211">
        <v>0</v>
      </c>
      <c r="D31" s="26"/>
      <c r="E31" s="26"/>
      <c r="F31" s="211">
        <v>0</v>
      </c>
      <c r="G31" s="26"/>
      <c r="H31" s="26"/>
      <c r="I31" s="211">
        <v>0</v>
      </c>
      <c r="J31" s="26"/>
      <c r="K31" s="26"/>
      <c r="L31" s="210">
        <f t="shared" si="3"/>
        <v>0</v>
      </c>
      <c r="M31" s="26"/>
      <c r="N31" s="26"/>
      <c r="O31" s="173"/>
      <c r="Q31" s="26"/>
      <c r="R31" s="74"/>
    </row>
    <row r="32" spans="1:18" x14ac:dyDescent="0.25">
      <c r="A32" s="39" t="s">
        <v>66</v>
      </c>
      <c r="B32" s="39" t="s">
        <v>7</v>
      </c>
      <c r="C32" s="211">
        <v>0</v>
      </c>
      <c r="D32" s="26"/>
      <c r="E32" s="26"/>
      <c r="F32" s="211">
        <v>0</v>
      </c>
      <c r="G32" s="26"/>
      <c r="H32" s="26"/>
      <c r="I32" s="211">
        <v>0</v>
      </c>
      <c r="J32" s="26"/>
      <c r="K32" s="26"/>
      <c r="L32" s="210">
        <f t="shared" si="3"/>
        <v>0</v>
      </c>
      <c r="M32" s="26"/>
      <c r="N32" s="26"/>
      <c r="O32" s="173"/>
      <c r="Q32" s="26"/>
    </row>
    <row r="33" spans="1:17" x14ac:dyDescent="0.25">
      <c r="A33" s="39" t="s">
        <v>13</v>
      </c>
      <c r="B33" s="39" t="s">
        <v>122</v>
      </c>
      <c r="C33" s="211">
        <v>0</v>
      </c>
      <c r="D33" s="26"/>
      <c r="E33" s="26"/>
      <c r="F33" s="211">
        <v>0</v>
      </c>
      <c r="G33" s="26"/>
      <c r="H33" s="26"/>
      <c r="I33" s="211">
        <v>0</v>
      </c>
      <c r="J33" s="26"/>
      <c r="K33" s="26"/>
      <c r="L33" s="210">
        <f t="shared" si="3"/>
        <v>0</v>
      </c>
      <c r="M33" s="26"/>
      <c r="N33" s="26"/>
      <c r="O33" s="173"/>
      <c r="Q33" s="26"/>
    </row>
    <row r="34" spans="1:17" x14ac:dyDescent="0.25">
      <c r="A34" s="39" t="s">
        <v>13</v>
      </c>
      <c r="B34" s="39" t="s">
        <v>7</v>
      </c>
      <c r="C34" s="211">
        <v>0</v>
      </c>
      <c r="D34" s="26"/>
      <c r="E34" s="26"/>
      <c r="F34" s="211">
        <v>0</v>
      </c>
      <c r="G34" s="26"/>
      <c r="H34" s="26"/>
      <c r="I34" s="211">
        <v>0</v>
      </c>
      <c r="J34" s="26"/>
      <c r="K34" s="26"/>
      <c r="L34" s="210">
        <f t="shared" si="3"/>
        <v>0</v>
      </c>
      <c r="M34" s="26"/>
      <c r="N34" s="26"/>
      <c r="O34" s="173"/>
      <c r="Q34" s="26"/>
    </row>
    <row r="35" spans="1:17" x14ac:dyDescent="0.25">
      <c r="A35" s="39" t="s">
        <v>9</v>
      </c>
      <c r="B35" s="39" t="s">
        <v>117</v>
      </c>
      <c r="C35" s="211">
        <v>6</v>
      </c>
      <c r="D35" s="26"/>
      <c r="E35" s="26"/>
      <c r="F35" s="211">
        <v>6</v>
      </c>
      <c r="G35" s="26"/>
      <c r="H35" s="26"/>
      <c r="I35" s="211">
        <v>1</v>
      </c>
      <c r="J35" s="26"/>
      <c r="K35" s="26"/>
      <c r="L35" s="210">
        <f t="shared" si="3"/>
        <v>13</v>
      </c>
      <c r="M35" s="26"/>
      <c r="N35" s="26"/>
      <c r="O35" s="26"/>
      <c r="Q35" s="26"/>
    </row>
    <row r="36" spans="1:17" x14ac:dyDescent="0.25">
      <c r="A36" s="39" t="s">
        <v>9</v>
      </c>
      <c r="B36" s="39" t="s">
        <v>189</v>
      </c>
      <c r="C36" s="211">
        <v>0</v>
      </c>
      <c r="D36" s="26"/>
      <c r="E36" s="26"/>
      <c r="F36" s="211">
        <v>0</v>
      </c>
      <c r="G36" s="26"/>
      <c r="H36" s="26"/>
      <c r="I36" s="211">
        <v>0</v>
      </c>
      <c r="J36" s="26"/>
      <c r="K36" s="26"/>
      <c r="L36" s="210">
        <f t="shared" si="3"/>
        <v>0</v>
      </c>
      <c r="M36" s="26"/>
      <c r="N36" s="26"/>
      <c r="O36" s="173"/>
      <c r="Q36" s="26"/>
    </row>
    <row r="37" spans="1:17" x14ac:dyDescent="0.25">
      <c r="A37" s="39" t="s">
        <v>9</v>
      </c>
      <c r="B37" s="39" t="s">
        <v>7</v>
      </c>
      <c r="C37" s="211">
        <v>0</v>
      </c>
      <c r="D37" s="26"/>
      <c r="E37" s="26"/>
      <c r="F37" s="211">
        <v>0</v>
      </c>
      <c r="G37" s="26"/>
      <c r="H37" s="26"/>
      <c r="I37" s="211">
        <v>0</v>
      </c>
      <c r="J37" s="26"/>
      <c r="K37" s="26"/>
      <c r="L37" s="210">
        <f t="shared" si="3"/>
        <v>0</v>
      </c>
      <c r="M37" s="26"/>
      <c r="N37" s="26"/>
      <c r="O37" s="173"/>
      <c r="Q37" s="26"/>
    </row>
    <row r="38" spans="1:17" x14ac:dyDescent="0.25">
      <c r="A38" s="39" t="s">
        <v>14</v>
      </c>
      <c r="B38" s="39" t="s">
        <v>7</v>
      </c>
      <c r="C38" s="211">
        <v>0</v>
      </c>
      <c r="D38" s="26"/>
      <c r="E38" s="26"/>
      <c r="F38" s="211">
        <v>0</v>
      </c>
      <c r="G38" s="26"/>
      <c r="H38" s="26"/>
      <c r="I38" s="211">
        <v>0</v>
      </c>
      <c r="J38" s="26"/>
      <c r="K38" s="26"/>
      <c r="L38" s="210">
        <f t="shared" si="3"/>
        <v>0</v>
      </c>
      <c r="M38" s="26"/>
      <c r="N38" s="26"/>
      <c r="O38" s="173"/>
      <c r="Q38" s="26"/>
    </row>
    <row r="39" spans="1:17" x14ac:dyDescent="0.25">
      <c r="A39" s="39" t="s">
        <v>29</v>
      </c>
      <c r="B39" s="39" t="s">
        <v>122</v>
      </c>
      <c r="C39" s="211">
        <v>1</v>
      </c>
      <c r="D39" s="26"/>
      <c r="E39" s="26"/>
      <c r="F39" s="211">
        <v>1</v>
      </c>
      <c r="G39" s="26"/>
      <c r="H39" s="26"/>
      <c r="I39" s="211">
        <v>0</v>
      </c>
      <c r="J39" s="26"/>
      <c r="K39" s="26"/>
      <c r="L39" s="210">
        <f t="shared" si="3"/>
        <v>2</v>
      </c>
      <c r="M39" s="26"/>
      <c r="N39" s="26"/>
      <c r="O39" s="173"/>
      <c r="Q39" s="26"/>
    </row>
    <row r="40" spans="1:17" x14ac:dyDescent="0.25">
      <c r="A40" s="39" t="s">
        <v>76</v>
      </c>
      <c r="B40" s="39" t="s">
        <v>122</v>
      </c>
      <c r="C40" s="211">
        <v>0</v>
      </c>
      <c r="D40" s="26"/>
      <c r="E40" s="26"/>
      <c r="F40" s="211">
        <v>0</v>
      </c>
      <c r="G40" s="26"/>
      <c r="H40" s="26"/>
      <c r="I40" s="211">
        <v>0</v>
      </c>
      <c r="J40" s="26"/>
      <c r="K40" s="26"/>
      <c r="L40" s="210">
        <f t="shared" si="3"/>
        <v>0</v>
      </c>
      <c r="M40" s="26"/>
      <c r="N40" s="26"/>
      <c r="O40" s="173"/>
      <c r="Q40" s="26"/>
    </row>
    <row r="41" spans="1:17" x14ac:dyDescent="0.25">
      <c r="A41" s="39" t="s">
        <v>42</v>
      </c>
      <c r="B41" s="39" t="s">
        <v>122</v>
      </c>
      <c r="C41" s="211">
        <v>0</v>
      </c>
      <c r="D41" s="26"/>
      <c r="E41" s="26"/>
      <c r="F41" s="211">
        <v>0</v>
      </c>
      <c r="G41" s="26"/>
      <c r="H41" s="26"/>
      <c r="I41" s="211">
        <v>0</v>
      </c>
      <c r="J41" s="26"/>
      <c r="K41" s="26"/>
      <c r="L41" s="210">
        <f t="shared" si="3"/>
        <v>0</v>
      </c>
      <c r="M41" s="26"/>
      <c r="N41" s="26"/>
      <c r="O41" s="173"/>
      <c r="Q41" s="26"/>
    </row>
    <row r="42" spans="1:17" x14ac:dyDescent="0.25">
      <c r="A42" s="39" t="s">
        <v>60</v>
      </c>
      <c r="B42" s="39" t="s">
        <v>122</v>
      </c>
      <c r="C42" s="211">
        <v>0</v>
      </c>
      <c r="D42" s="26"/>
      <c r="E42" s="26"/>
      <c r="F42" s="211">
        <v>0</v>
      </c>
      <c r="G42" s="26"/>
      <c r="H42" s="26"/>
      <c r="I42" s="211">
        <v>0</v>
      </c>
      <c r="J42" s="26"/>
      <c r="K42" s="26"/>
      <c r="L42" s="210">
        <f t="shared" si="3"/>
        <v>0</v>
      </c>
      <c r="M42" s="26"/>
      <c r="N42" s="26"/>
      <c r="O42" s="173"/>
      <c r="Q42" s="26"/>
    </row>
    <row r="43" spans="1:17" x14ac:dyDescent="0.25">
      <c r="A43" s="39" t="s">
        <v>39</v>
      </c>
      <c r="B43" s="39" t="s">
        <v>122</v>
      </c>
      <c r="C43" s="211">
        <v>0</v>
      </c>
      <c r="D43" s="26"/>
      <c r="E43" s="26"/>
      <c r="F43" s="211">
        <v>0</v>
      </c>
      <c r="G43" s="26"/>
      <c r="H43" s="26"/>
      <c r="I43" s="211">
        <v>0</v>
      </c>
      <c r="J43" s="26"/>
      <c r="K43" s="26"/>
      <c r="L43" s="210">
        <f t="shared" si="3"/>
        <v>0</v>
      </c>
      <c r="M43" s="26"/>
      <c r="N43" s="26"/>
      <c r="Q43" s="26"/>
    </row>
    <row r="44" spans="1:17" x14ac:dyDescent="0.25">
      <c r="A44" s="39" t="s">
        <v>43</v>
      </c>
      <c r="B44" s="39" t="s">
        <v>33</v>
      </c>
      <c r="C44" s="211">
        <v>0</v>
      </c>
      <c r="D44" s="26"/>
      <c r="E44" s="26"/>
      <c r="F44" s="211">
        <v>0</v>
      </c>
      <c r="G44" s="26"/>
      <c r="H44" s="26"/>
      <c r="I44" s="211">
        <v>0</v>
      </c>
      <c r="J44" s="26"/>
      <c r="K44" s="26"/>
      <c r="L44" s="210">
        <f t="shared" si="3"/>
        <v>0</v>
      </c>
      <c r="M44" s="26"/>
      <c r="N44" s="26"/>
      <c r="Q44" s="26"/>
    </row>
    <row r="45" spans="1:17" x14ac:dyDescent="0.25">
      <c r="A45" s="39" t="s">
        <v>15</v>
      </c>
      <c r="B45" s="39" t="s">
        <v>33</v>
      </c>
      <c r="C45" s="211">
        <v>0</v>
      </c>
      <c r="D45" s="26"/>
      <c r="E45" s="26"/>
      <c r="F45" s="211">
        <v>0</v>
      </c>
      <c r="G45" s="26"/>
      <c r="H45" s="26"/>
      <c r="I45" s="211">
        <v>0</v>
      </c>
      <c r="J45" s="26"/>
      <c r="K45" s="26"/>
      <c r="L45" s="210">
        <f t="shared" si="3"/>
        <v>0</v>
      </c>
      <c r="M45" s="26"/>
      <c r="N45" s="26"/>
      <c r="Q45" s="26"/>
    </row>
    <row r="46" spans="1:17" x14ac:dyDescent="0.25">
      <c r="A46" s="39" t="s">
        <v>39</v>
      </c>
      <c r="B46" s="39" t="s">
        <v>33</v>
      </c>
      <c r="C46" s="211">
        <v>0</v>
      </c>
      <c r="D46" s="26"/>
      <c r="E46" s="26"/>
      <c r="F46" s="211">
        <v>0</v>
      </c>
      <c r="G46" s="26"/>
      <c r="H46" s="26"/>
      <c r="I46" s="211">
        <v>0</v>
      </c>
      <c r="J46" s="26"/>
      <c r="K46" s="26"/>
      <c r="L46" s="210">
        <f t="shared" si="3"/>
        <v>0</v>
      </c>
      <c r="M46" s="26"/>
      <c r="N46" s="26"/>
      <c r="Q46" s="26"/>
    </row>
    <row r="47" spans="1:17" x14ac:dyDescent="0.25">
      <c r="A47" s="39" t="s">
        <v>62</v>
      </c>
      <c r="B47" s="39" t="s">
        <v>33</v>
      </c>
      <c r="C47" s="211">
        <v>0</v>
      </c>
      <c r="D47" s="26"/>
      <c r="E47" s="26"/>
      <c r="F47" s="211">
        <v>0</v>
      </c>
      <c r="G47" s="26"/>
      <c r="H47" s="26"/>
      <c r="I47" s="211">
        <v>0</v>
      </c>
      <c r="J47" s="26"/>
      <c r="K47" s="26"/>
      <c r="L47" s="210">
        <f t="shared" si="3"/>
        <v>0</v>
      </c>
      <c r="M47" s="26"/>
      <c r="N47" s="26"/>
      <c r="Q47" s="26"/>
    </row>
    <row r="48" spans="1:17" x14ac:dyDescent="0.25">
      <c r="A48" s="39" t="s">
        <v>31</v>
      </c>
      <c r="B48" s="39" t="s">
        <v>33</v>
      </c>
      <c r="C48" s="211">
        <v>0</v>
      </c>
      <c r="E48" s="26"/>
      <c r="F48" s="211">
        <v>0</v>
      </c>
      <c r="H48" s="26"/>
      <c r="I48" s="211">
        <v>0</v>
      </c>
      <c r="K48" s="26"/>
      <c r="L48" s="210">
        <f t="shared" si="3"/>
        <v>0</v>
      </c>
      <c r="N48" s="26"/>
      <c r="Q48" s="59"/>
    </row>
    <row r="49" spans="1:17" x14ac:dyDescent="0.25">
      <c r="A49" s="39" t="s">
        <v>68</v>
      </c>
      <c r="B49" s="39" t="s">
        <v>33</v>
      </c>
      <c r="C49" s="211">
        <v>0</v>
      </c>
      <c r="F49" s="211">
        <v>0</v>
      </c>
      <c r="I49" s="211">
        <v>0</v>
      </c>
      <c r="L49" s="210">
        <f t="shared" si="3"/>
        <v>0</v>
      </c>
      <c r="Q49" s="26"/>
    </row>
    <row r="50" spans="1:17" x14ac:dyDescent="0.25">
      <c r="A50" s="39" t="s">
        <v>48</v>
      </c>
      <c r="B50" s="39" t="s">
        <v>33</v>
      </c>
      <c r="C50" s="211">
        <v>0</v>
      </c>
      <c r="D50" s="92" t="s">
        <v>84</v>
      </c>
      <c r="E50" s="92" t="s">
        <v>85</v>
      </c>
      <c r="F50" s="211">
        <v>0</v>
      </c>
      <c r="G50" s="92" t="s">
        <v>84</v>
      </c>
      <c r="H50" s="92" t="s">
        <v>85</v>
      </c>
      <c r="I50" s="211">
        <v>0</v>
      </c>
      <c r="J50" s="92" t="s">
        <v>84</v>
      </c>
      <c r="K50" s="92" t="s">
        <v>85</v>
      </c>
      <c r="L50" s="210">
        <f t="shared" si="3"/>
        <v>0</v>
      </c>
      <c r="M50" s="208" t="s">
        <v>84</v>
      </c>
      <c r="N50" s="208" t="s">
        <v>85</v>
      </c>
      <c r="Q50" s="26"/>
    </row>
    <row r="51" spans="1:17" x14ac:dyDescent="0.25">
      <c r="A51" s="89" t="s">
        <v>53</v>
      </c>
      <c r="B51" s="160"/>
      <c r="C51" s="159">
        <f>SUM(C28:C50)</f>
        <v>7</v>
      </c>
      <c r="D51" s="157">
        <f>C35+C36+C37+C38+C39+C45+C50</f>
        <v>7</v>
      </c>
      <c r="E51" s="157">
        <f>C51-D51</f>
        <v>0</v>
      </c>
      <c r="F51" s="159">
        <f>SUM(F28:F50)</f>
        <v>7</v>
      </c>
      <c r="G51" s="157">
        <f>F35+F36+F37+F38+F39+F45+F50</f>
        <v>7</v>
      </c>
      <c r="H51" s="157">
        <f>F51-G51</f>
        <v>0</v>
      </c>
      <c r="I51" s="159">
        <f>SUM(I28:I50)</f>
        <v>1</v>
      </c>
      <c r="J51" s="157">
        <f>I35+I36+I37+I38+I39+I45+I50</f>
        <v>1</v>
      </c>
      <c r="K51" s="157">
        <f>I51-J51</f>
        <v>0</v>
      </c>
      <c r="L51" s="159">
        <f>SUM(L28:L50)</f>
        <v>15</v>
      </c>
      <c r="M51" s="157">
        <f>L35+L36+L37+L38+L39+L45+L50</f>
        <v>15</v>
      </c>
      <c r="N51" s="157">
        <f>L51-M51</f>
        <v>0</v>
      </c>
      <c r="Q51" s="26"/>
    </row>
    <row r="52" spans="1:17" x14ac:dyDescent="0.25">
      <c r="A52" s="39"/>
      <c r="B52" s="39"/>
      <c r="L52" s="26"/>
      <c r="Q52" s="26"/>
    </row>
    <row r="53" spans="1:17" ht="15.75" thickBot="1" x14ac:dyDescent="0.3">
      <c r="A53" s="203"/>
      <c r="B53" s="203"/>
      <c r="L53" s="26"/>
      <c r="Q53" s="26"/>
    </row>
    <row r="54" spans="1:17" ht="30.75" thickBot="1" x14ac:dyDescent="0.3">
      <c r="A54" s="205" t="s">
        <v>2</v>
      </c>
      <c r="B54" s="206"/>
      <c r="C54" s="200" t="s">
        <v>211</v>
      </c>
      <c r="D54" s="206"/>
      <c r="E54" s="206"/>
      <c r="F54" s="200" t="s">
        <v>212</v>
      </c>
      <c r="G54" s="206"/>
      <c r="H54" s="206"/>
      <c r="I54" s="200" t="s">
        <v>213</v>
      </c>
      <c r="J54" s="206"/>
      <c r="K54" s="206"/>
      <c r="L54" s="207" t="s">
        <v>215</v>
      </c>
      <c r="N54" s="26"/>
      <c r="O54" s="26"/>
      <c r="Q54" s="26"/>
    </row>
    <row r="55" spans="1:17" x14ac:dyDescent="0.25">
      <c r="A55" s="179" t="s">
        <v>190</v>
      </c>
      <c r="B55" s="179" t="s">
        <v>180</v>
      </c>
      <c r="C55" s="211">
        <v>0</v>
      </c>
      <c r="D55" s="26"/>
      <c r="F55" s="211">
        <v>0</v>
      </c>
      <c r="G55" s="26"/>
      <c r="I55" s="211">
        <v>0</v>
      </c>
      <c r="J55" s="26"/>
      <c r="L55" s="210">
        <f t="shared" ref="L55:L60" si="4">C55+F55+I55</f>
        <v>0</v>
      </c>
      <c r="M55" s="26"/>
      <c r="O55" s="26"/>
      <c r="Q55" s="26"/>
    </row>
    <row r="56" spans="1:17" x14ac:dyDescent="0.25">
      <c r="A56" s="39" t="s">
        <v>9</v>
      </c>
      <c r="B56" s="39" t="s">
        <v>71</v>
      </c>
      <c r="C56" s="211">
        <v>0</v>
      </c>
      <c r="D56" s="26"/>
      <c r="F56" s="211">
        <v>0</v>
      </c>
      <c r="G56" s="26"/>
      <c r="I56" s="211">
        <v>0</v>
      </c>
      <c r="J56" s="26"/>
      <c r="L56" s="210">
        <f t="shared" si="4"/>
        <v>0</v>
      </c>
      <c r="M56" s="26"/>
      <c r="O56" s="26"/>
      <c r="Q56" s="26"/>
    </row>
    <row r="57" spans="1:17" x14ac:dyDescent="0.25">
      <c r="A57" s="39" t="s">
        <v>9</v>
      </c>
      <c r="B57" s="39" t="s">
        <v>180</v>
      </c>
      <c r="C57" s="211">
        <v>0</v>
      </c>
      <c r="D57" s="26"/>
      <c r="F57" s="211">
        <v>0</v>
      </c>
      <c r="G57" s="26"/>
      <c r="I57" s="211">
        <v>0</v>
      </c>
      <c r="J57" s="26"/>
      <c r="L57" s="210">
        <f t="shared" si="4"/>
        <v>0</v>
      </c>
      <c r="M57" s="26"/>
      <c r="Q57" s="26"/>
    </row>
    <row r="58" spans="1:17" x14ac:dyDescent="0.25">
      <c r="A58" s="39" t="s">
        <v>9</v>
      </c>
      <c r="B58" s="39" t="s">
        <v>72</v>
      </c>
      <c r="C58" s="211">
        <v>0</v>
      </c>
      <c r="D58" s="26"/>
      <c r="F58" s="211">
        <v>0</v>
      </c>
      <c r="G58" s="26"/>
      <c r="I58" s="211">
        <v>0</v>
      </c>
      <c r="J58" s="26"/>
      <c r="L58" s="210">
        <f t="shared" si="4"/>
        <v>0</v>
      </c>
      <c r="M58" s="26"/>
      <c r="Q58" s="26"/>
    </row>
    <row r="59" spans="1:17" x14ac:dyDescent="0.25">
      <c r="A59" s="39" t="s">
        <v>9</v>
      </c>
      <c r="B59" s="39" t="s">
        <v>72</v>
      </c>
      <c r="C59" s="211">
        <v>0</v>
      </c>
      <c r="D59" s="26"/>
      <c r="F59" s="211">
        <v>0</v>
      </c>
      <c r="G59" s="26"/>
      <c r="I59" s="211">
        <v>0</v>
      </c>
      <c r="J59" s="26"/>
      <c r="L59" s="210">
        <f t="shared" si="4"/>
        <v>0</v>
      </c>
      <c r="M59" s="26"/>
      <c r="Q59" s="26"/>
    </row>
    <row r="60" spans="1:17" x14ac:dyDescent="0.25">
      <c r="A60" s="39" t="s">
        <v>9</v>
      </c>
      <c r="B60" s="39" t="s">
        <v>73</v>
      </c>
      <c r="C60" s="211">
        <v>0</v>
      </c>
      <c r="D60" s="92" t="s">
        <v>84</v>
      </c>
      <c r="E60" s="92" t="s">
        <v>85</v>
      </c>
      <c r="F60" s="211">
        <v>0</v>
      </c>
      <c r="G60" s="92" t="s">
        <v>84</v>
      </c>
      <c r="H60" s="92" t="s">
        <v>85</v>
      </c>
      <c r="I60" s="211">
        <v>0</v>
      </c>
      <c r="J60" s="92" t="s">
        <v>84</v>
      </c>
      <c r="K60" s="92" t="s">
        <v>85</v>
      </c>
      <c r="L60" s="210">
        <f t="shared" si="4"/>
        <v>0</v>
      </c>
      <c r="M60" s="208" t="s">
        <v>84</v>
      </c>
      <c r="N60" s="208" t="s">
        <v>85</v>
      </c>
      <c r="Q60" s="26"/>
    </row>
    <row r="61" spans="1:17" x14ac:dyDescent="0.25">
      <c r="A61" s="89" t="s">
        <v>53</v>
      </c>
      <c r="B61" s="160"/>
      <c r="C61" s="159">
        <f>SUM(C55:C60)</f>
        <v>0</v>
      </c>
      <c r="D61" s="157">
        <f>C56+C57+C58+C59+C60</f>
        <v>0</v>
      </c>
      <c r="E61" s="157">
        <f>C61-D61</f>
        <v>0</v>
      </c>
      <c r="F61" s="159">
        <f>SUM(F55:F60)</f>
        <v>0</v>
      </c>
      <c r="G61" s="157">
        <f>F56+F57+F58+F59+F60</f>
        <v>0</v>
      </c>
      <c r="H61" s="157">
        <f>F61-G61</f>
        <v>0</v>
      </c>
      <c r="I61" s="159">
        <f>SUM(I55:I60)</f>
        <v>0</v>
      </c>
      <c r="J61" s="157">
        <f>I56+I57+I58+I59+I60</f>
        <v>0</v>
      </c>
      <c r="K61" s="157">
        <f>I61-J61</f>
        <v>0</v>
      </c>
      <c r="L61" s="159">
        <f>SUM(L55:L60)</f>
        <v>0</v>
      </c>
      <c r="M61" s="157">
        <f>L56+L57+L58+L59+L60</f>
        <v>0</v>
      </c>
      <c r="N61" s="157">
        <f>L61-M61</f>
        <v>0</v>
      </c>
      <c r="Q61" s="26"/>
    </row>
    <row r="62" spans="1:17" x14ac:dyDescent="0.25">
      <c r="A62" s="39"/>
      <c r="B62" s="39"/>
      <c r="D62" s="185">
        <f>D61/2</f>
        <v>0</v>
      </c>
      <c r="E62" s="185">
        <f>E61/2</f>
        <v>0</v>
      </c>
      <c r="G62" s="185">
        <f>G61/2</f>
        <v>0</v>
      </c>
      <c r="H62" s="185">
        <f>H61/2</f>
        <v>0</v>
      </c>
      <c r="J62" s="185">
        <f>J61/2</f>
        <v>0</v>
      </c>
      <c r="K62" s="185">
        <f>K61/2</f>
        <v>0</v>
      </c>
      <c r="L62" s="26"/>
      <c r="M62" s="185">
        <f>M61/2</f>
        <v>0</v>
      </c>
      <c r="N62" s="185">
        <f>N61/2</f>
        <v>0</v>
      </c>
      <c r="P62" s="167"/>
      <c r="Q62" s="26"/>
    </row>
    <row r="63" spans="1:17" ht="15.75" thickBot="1" x14ac:dyDescent="0.3">
      <c r="A63" s="203"/>
      <c r="B63" s="203"/>
      <c r="E63" s="26"/>
      <c r="H63" s="26"/>
      <c r="K63" s="26"/>
      <c r="L63" s="26"/>
      <c r="N63" s="26"/>
      <c r="Q63" s="26"/>
    </row>
    <row r="64" spans="1:17" ht="30.75" thickBot="1" x14ac:dyDescent="0.3">
      <c r="A64" s="205" t="s">
        <v>82</v>
      </c>
      <c r="B64" s="206"/>
      <c r="C64" s="200" t="s">
        <v>211</v>
      </c>
      <c r="D64" s="206"/>
      <c r="E64" s="206"/>
      <c r="F64" s="200" t="s">
        <v>212</v>
      </c>
      <c r="G64" s="206"/>
      <c r="H64" s="206"/>
      <c r="I64" s="200" t="s">
        <v>213</v>
      </c>
      <c r="J64" s="206"/>
      <c r="K64" s="206"/>
      <c r="L64" s="207" t="s">
        <v>215</v>
      </c>
      <c r="M64" s="26"/>
      <c r="N64" s="26"/>
      <c r="O64" s="26"/>
      <c r="P64" s="173"/>
      <c r="Q64" s="26"/>
    </row>
    <row r="65" spans="1:18" x14ac:dyDescent="0.25">
      <c r="A65" s="179" t="s">
        <v>9</v>
      </c>
      <c r="B65" s="179" t="s">
        <v>136</v>
      </c>
      <c r="C65" s="211">
        <v>0</v>
      </c>
      <c r="D65" s="26"/>
      <c r="E65" s="26"/>
      <c r="F65" s="211">
        <v>0</v>
      </c>
      <c r="G65" s="26"/>
      <c r="H65" s="26"/>
      <c r="I65" s="211">
        <v>0</v>
      </c>
      <c r="J65" s="26"/>
      <c r="K65" s="26"/>
      <c r="L65" s="210">
        <f t="shared" ref="L65:L88" si="5">C65+F65+I65</f>
        <v>0</v>
      </c>
      <c r="M65" s="26"/>
      <c r="N65" s="26"/>
      <c r="O65" s="26"/>
      <c r="P65" s="173"/>
      <c r="Q65" s="26"/>
    </row>
    <row r="66" spans="1:18" x14ac:dyDescent="0.25">
      <c r="A66" s="39" t="s">
        <v>9</v>
      </c>
      <c r="B66" s="39" t="s">
        <v>137</v>
      </c>
      <c r="C66" s="211">
        <v>0</v>
      </c>
      <c r="D66" s="26"/>
      <c r="E66" s="26"/>
      <c r="F66" s="211">
        <v>0</v>
      </c>
      <c r="G66" s="26"/>
      <c r="H66" s="26"/>
      <c r="I66" s="211">
        <v>0</v>
      </c>
      <c r="J66" s="26"/>
      <c r="K66" s="26"/>
      <c r="L66" s="210">
        <f t="shared" si="5"/>
        <v>0</v>
      </c>
      <c r="M66" s="26"/>
      <c r="N66" s="26"/>
      <c r="O66" s="26"/>
      <c r="P66" s="173"/>
      <c r="Q66" s="26"/>
    </row>
    <row r="67" spans="1:18" x14ac:dyDescent="0.25">
      <c r="A67" s="39" t="s">
        <v>15</v>
      </c>
      <c r="B67" s="39" t="s">
        <v>131</v>
      </c>
      <c r="C67" s="211">
        <v>0</v>
      </c>
      <c r="D67" s="26"/>
      <c r="E67" s="26"/>
      <c r="F67" s="211">
        <v>0</v>
      </c>
      <c r="G67" s="26"/>
      <c r="H67" s="26"/>
      <c r="I67" s="211">
        <v>0</v>
      </c>
      <c r="J67" s="26"/>
      <c r="K67" s="26"/>
      <c r="L67" s="210">
        <f t="shared" si="5"/>
        <v>0</v>
      </c>
      <c r="M67" s="26"/>
      <c r="N67" s="26"/>
      <c r="O67" s="26"/>
      <c r="P67" s="173"/>
      <c r="Q67" s="26"/>
    </row>
    <row r="68" spans="1:18" x14ac:dyDescent="0.25">
      <c r="A68" s="39" t="s">
        <v>15</v>
      </c>
      <c r="B68" s="39" t="s">
        <v>132</v>
      </c>
      <c r="C68" s="211">
        <v>0</v>
      </c>
      <c r="D68" s="26"/>
      <c r="E68" s="26"/>
      <c r="F68" s="211">
        <v>0</v>
      </c>
      <c r="G68" s="26"/>
      <c r="H68" s="26"/>
      <c r="I68" s="211">
        <v>0</v>
      </c>
      <c r="J68" s="26"/>
      <c r="K68" s="26"/>
      <c r="L68" s="210">
        <f t="shared" si="5"/>
        <v>0</v>
      </c>
      <c r="M68" s="26"/>
      <c r="N68" s="26"/>
      <c r="O68" s="26"/>
      <c r="P68" s="173"/>
      <c r="Q68" s="26"/>
    </row>
    <row r="69" spans="1:18" x14ac:dyDescent="0.25">
      <c r="A69" s="39" t="s">
        <v>113</v>
      </c>
      <c r="B69" s="39" t="s">
        <v>131</v>
      </c>
      <c r="C69" s="211">
        <v>0</v>
      </c>
      <c r="D69" s="26"/>
      <c r="E69" s="26"/>
      <c r="F69" s="211">
        <v>0</v>
      </c>
      <c r="G69" s="26"/>
      <c r="H69" s="26"/>
      <c r="I69" s="211">
        <v>0</v>
      </c>
      <c r="J69" s="26"/>
      <c r="K69" s="26"/>
      <c r="L69" s="210">
        <f t="shared" si="5"/>
        <v>0</v>
      </c>
      <c r="M69" s="26"/>
      <c r="N69" s="26"/>
      <c r="O69" s="26"/>
      <c r="P69" s="173"/>
      <c r="Q69" s="26"/>
    </row>
    <row r="70" spans="1:18" x14ac:dyDescent="0.25">
      <c r="A70" s="39" t="s">
        <v>113</v>
      </c>
      <c r="B70" s="39" t="s">
        <v>132</v>
      </c>
      <c r="C70" s="211">
        <v>0</v>
      </c>
      <c r="D70" s="26"/>
      <c r="E70" s="26"/>
      <c r="F70" s="211">
        <v>0</v>
      </c>
      <c r="G70" s="26"/>
      <c r="H70" s="26"/>
      <c r="I70" s="211">
        <v>0</v>
      </c>
      <c r="J70" s="26"/>
      <c r="K70" s="26"/>
      <c r="L70" s="210">
        <f t="shared" si="5"/>
        <v>0</v>
      </c>
      <c r="M70" s="26"/>
      <c r="N70" s="26"/>
      <c r="O70" s="26"/>
      <c r="P70" s="173"/>
      <c r="Q70" s="26"/>
    </row>
    <row r="71" spans="1:18" x14ac:dyDescent="0.25">
      <c r="A71" s="39" t="s">
        <v>12</v>
      </c>
      <c r="B71" s="39" t="s">
        <v>133</v>
      </c>
      <c r="C71" s="211">
        <v>0</v>
      </c>
      <c r="D71" s="26"/>
      <c r="E71" s="26"/>
      <c r="F71" s="211">
        <v>0</v>
      </c>
      <c r="G71" s="26"/>
      <c r="H71" s="26"/>
      <c r="I71" s="211">
        <v>0</v>
      </c>
      <c r="J71" s="26"/>
      <c r="K71" s="26"/>
      <c r="L71" s="210">
        <f t="shared" si="5"/>
        <v>0</v>
      </c>
      <c r="M71" s="26"/>
      <c r="N71" s="26"/>
      <c r="O71" s="26"/>
      <c r="P71" s="173"/>
      <c r="Q71" s="26"/>
    </row>
    <row r="72" spans="1:18" x14ac:dyDescent="0.25">
      <c r="A72" s="39" t="s">
        <v>10</v>
      </c>
      <c r="B72" s="39" t="s">
        <v>134</v>
      </c>
      <c r="C72" s="211">
        <v>0</v>
      </c>
      <c r="D72" s="26"/>
      <c r="E72" s="26"/>
      <c r="F72" s="211">
        <v>0</v>
      </c>
      <c r="G72" s="26"/>
      <c r="H72" s="26"/>
      <c r="I72" s="211">
        <v>0</v>
      </c>
      <c r="J72" s="26"/>
      <c r="K72" s="26"/>
      <c r="L72" s="210">
        <f t="shared" si="5"/>
        <v>0</v>
      </c>
      <c r="M72" s="26"/>
      <c r="N72" s="26"/>
      <c r="O72" s="26"/>
      <c r="P72" s="173"/>
      <c r="Q72" s="26"/>
    </row>
    <row r="73" spans="1:18" x14ac:dyDescent="0.25">
      <c r="A73" s="39" t="s">
        <v>10</v>
      </c>
      <c r="B73" s="39" t="s">
        <v>112</v>
      </c>
      <c r="C73" s="211">
        <v>0</v>
      </c>
      <c r="D73" s="26"/>
      <c r="E73" s="26"/>
      <c r="F73" s="211">
        <v>0</v>
      </c>
      <c r="G73" s="26"/>
      <c r="H73" s="26"/>
      <c r="I73" s="211">
        <v>0</v>
      </c>
      <c r="J73" s="26"/>
      <c r="K73" s="26"/>
      <c r="L73" s="210">
        <f t="shared" si="5"/>
        <v>0</v>
      </c>
      <c r="M73" s="26"/>
      <c r="N73" s="26"/>
      <c r="O73" s="26"/>
      <c r="P73" s="173"/>
      <c r="Q73" s="26"/>
      <c r="R73" s="8"/>
    </row>
    <row r="74" spans="1:18" x14ac:dyDescent="0.25">
      <c r="A74" s="39" t="s">
        <v>9</v>
      </c>
      <c r="B74" s="39" t="s">
        <v>135</v>
      </c>
      <c r="C74" s="211">
        <v>0</v>
      </c>
      <c r="D74" s="26"/>
      <c r="F74" s="211">
        <v>0</v>
      </c>
      <c r="G74" s="26"/>
      <c r="I74" s="211">
        <v>0</v>
      </c>
      <c r="J74" s="26"/>
      <c r="L74" s="210">
        <f t="shared" si="5"/>
        <v>0</v>
      </c>
      <c r="M74" s="26"/>
      <c r="O74" s="26"/>
      <c r="P74" s="173"/>
      <c r="Q74" s="26"/>
    </row>
    <row r="75" spans="1:18" x14ac:dyDescent="0.25">
      <c r="A75" s="39" t="s">
        <v>48</v>
      </c>
      <c r="B75" s="39" t="s">
        <v>134</v>
      </c>
      <c r="C75" s="211">
        <v>0</v>
      </c>
      <c r="D75" s="26"/>
      <c r="F75" s="211">
        <v>0</v>
      </c>
      <c r="G75" s="26"/>
      <c r="I75" s="211">
        <v>0</v>
      </c>
      <c r="J75" s="26"/>
      <c r="L75" s="210">
        <f t="shared" si="5"/>
        <v>0</v>
      </c>
      <c r="M75" s="26"/>
      <c r="O75" s="26"/>
      <c r="P75" s="173"/>
      <c r="Q75" s="26"/>
      <c r="R75" s="8"/>
    </row>
    <row r="76" spans="1:18" x14ac:dyDescent="0.25">
      <c r="A76" s="39" t="s">
        <v>48</v>
      </c>
      <c r="B76" s="39" t="s">
        <v>135</v>
      </c>
      <c r="C76" s="211">
        <v>0</v>
      </c>
      <c r="D76" s="26"/>
      <c r="F76" s="211">
        <v>0</v>
      </c>
      <c r="G76" s="26"/>
      <c r="I76" s="211">
        <v>0</v>
      </c>
      <c r="J76" s="26"/>
      <c r="L76" s="210">
        <f t="shared" si="5"/>
        <v>0</v>
      </c>
      <c r="M76" s="26"/>
      <c r="O76" s="26"/>
      <c r="P76" s="173"/>
      <c r="Q76" s="26"/>
      <c r="R76" s="8"/>
    </row>
    <row r="77" spans="1:18" x14ac:dyDescent="0.25">
      <c r="A77" s="39" t="s">
        <v>13</v>
      </c>
      <c r="B77" s="39" t="s">
        <v>138</v>
      </c>
      <c r="C77" s="211">
        <v>0</v>
      </c>
      <c r="D77" s="26"/>
      <c r="E77" s="26"/>
      <c r="F77" s="211">
        <v>0</v>
      </c>
      <c r="G77" s="26"/>
      <c r="H77" s="26"/>
      <c r="I77" s="211">
        <v>0</v>
      </c>
      <c r="J77" s="26"/>
      <c r="K77" s="26"/>
      <c r="L77" s="210">
        <f t="shared" si="5"/>
        <v>0</v>
      </c>
      <c r="M77" s="26"/>
      <c r="N77" s="26"/>
      <c r="O77" s="26"/>
      <c r="P77" s="173"/>
      <c r="Q77" s="26"/>
      <c r="R77" s="8"/>
    </row>
    <row r="78" spans="1:18" x14ac:dyDescent="0.25">
      <c r="A78" s="39" t="s">
        <v>15</v>
      </c>
      <c r="B78" s="39" t="s">
        <v>138</v>
      </c>
      <c r="C78" s="211">
        <v>0</v>
      </c>
      <c r="D78" s="26"/>
      <c r="E78" s="26"/>
      <c r="F78" s="211">
        <v>0</v>
      </c>
      <c r="G78" s="26"/>
      <c r="H78" s="26"/>
      <c r="I78" s="211">
        <v>0</v>
      </c>
      <c r="J78" s="26"/>
      <c r="K78" s="26"/>
      <c r="L78" s="210">
        <f t="shared" si="5"/>
        <v>0</v>
      </c>
      <c r="M78" s="26"/>
      <c r="N78" s="26"/>
      <c r="O78" s="26"/>
      <c r="P78" s="173"/>
      <c r="R78" s="8"/>
    </row>
    <row r="79" spans="1:18" x14ac:dyDescent="0.25">
      <c r="A79" s="39" t="s">
        <v>15</v>
      </c>
      <c r="B79" s="39" t="s">
        <v>139</v>
      </c>
      <c r="C79" s="211">
        <v>0</v>
      </c>
      <c r="D79" s="26"/>
      <c r="E79" s="26"/>
      <c r="F79" s="211">
        <v>0</v>
      </c>
      <c r="G79" s="26"/>
      <c r="H79" s="26"/>
      <c r="I79" s="211">
        <v>0</v>
      </c>
      <c r="J79" s="26"/>
      <c r="K79" s="26"/>
      <c r="L79" s="210">
        <f t="shared" si="5"/>
        <v>0</v>
      </c>
      <c r="M79" s="26"/>
      <c r="N79" s="26"/>
      <c r="O79" s="26"/>
      <c r="P79" s="173"/>
      <c r="R79" s="8"/>
    </row>
    <row r="80" spans="1:18" x14ac:dyDescent="0.25">
      <c r="A80" s="39" t="s">
        <v>15</v>
      </c>
      <c r="B80" s="39" t="s">
        <v>114</v>
      </c>
      <c r="C80" s="211">
        <v>0</v>
      </c>
      <c r="D80" s="26"/>
      <c r="E80" s="26"/>
      <c r="F80" s="211">
        <v>0</v>
      </c>
      <c r="G80" s="26"/>
      <c r="H80" s="26"/>
      <c r="I80" s="211">
        <v>0</v>
      </c>
      <c r="J80" s="26"/>
      <c r="K80" s="26"/>
      <c r="L80" s="210">
        <f t="shared" si="5"/>
        <v>0</v>
      </c>
      <c r="M80" s="26"/>
      <c r="N80" s="26"/>
      <c r="O80" s="26"/>
      <c r="P80" s="173"/>
      <c r="R80" s="8"/>
    </row>
    <row r="81" spans="1:19" x14ac:dyDescent="0.25">
      <c r="A81" s="39" t="s">
        <v>9</v>
      </c>
      <c r="B81" s="39" t="s">
        <v>140</v>
      </c>
      <c r="C81" s="211">
        <v>0</v>
      </c>
      <c r="D81" s="26"/>
      <c r="F81" s="211">
        <v>0</v>
      </c>
      <c r="G81" s="26"/>
      <c r="I81" s="211">
        <v>0</v>
      </c>
      <c r="J81" s="26"/>
      <c r="L81" s="210">
        <f t="shared" si="5"/>
        <v>0</v>
      </c>
      <c r="M81" s="26"/>
      <c r="O81" s="26"/>
      <c r="P81" s="173"/>
    </row>
    <row r="82" spans="1:19" x14ac:dyDescent="0.25">
      <c r="A82" s="39" t="s">
        <v>9</v>
      </c>
      <c r="B82" s="39" t="s">
        <v>141</v>
      </c>
      <c r="C82" s="211">
        <v>0</v>
      </c>
      <c r="D82" s="26"/>
      <c r="F82" s="211">
        <v>0</v>
      </c>
      <c r="G82" s="26"/>
      <c r="I82" s="211">
        <v>0</v>
      </c>
      <c r="J82" s="26"/>
      <c r="L82" s="210">
        <f t="shared" si="5"/>
        <v>0</v>
      </c>
      <c r="M82" s="26"/>
      <c r="O82" s="26"/>
    </row>
    <row r="83" spans="1:19" x14ac:dyDescent="0.25">
      <c r="A83" s="39" t="s">
        <v>10</v>
      </c>
      <c r="B83" s="39" t="s">
        <v>142</v>
      </c>
      <c r="C83" s="211">
        <v>0</v>
      </c>
      <c r="D83" s="26"/>
      <c r="E83" s="26"/>
      <c r="F83" s="211">
        <v>0</v>
      </c>
      <c r="G83" s="26"/>
      <c r="H83" s="26"/>
      <c r="I83" s="211">
        <v>0</v>
      </c>
      <c r="J83" s="26"/>
      <c r="K83" s="26"/>
      <c r="L83" s="210">
        <f t="shared" si="5"/>
        <v>0</v>
      </c>
      <c r="M83" s="26"/>
      <c r="N83" s="26"/>
      <c r="O83" s="26"/>
      <c r="P83" s="173"/>
    </row>
    <row r="84" spans="1:19" x14ac:dyDescent="0.25">
      <c r="A84" s="39" t="s">
        <v>9</v>
      </c>
      <c r="B84" s="39" t="s">
        <v>142</v>
      </c>
      <c r="C84" s="211">
        <v>0</v>
      </c>
      <c r="D84" s="26"/>
      <c r="F84" s="211">
        <v>0</v>
      </c>
      <c r="G84" s="26"/>
      <c r="I84" s="211">
        <v>0</v>
      </c>
      <c r="J84" s="26"/>
      <c r="L84" s="210">
        <f t="shared" si="5"/>
        <v>0</v>
      </c>
      <c r="M84" s="26"/>
      <c r="O84" s="26"/>
    </row>
    <row r="85" spans="1:19" x14ac:dyDescent="0.25">
      <c r="A85" s="39" t="s">
        <v>49</v>
      </c>
      <c r="B85" s="39" t="s">
        <v>142</v>
      </c>
      <c r="C85" s="211">
        <v>0</v>
      </c>
      <c r="D85" s="26"/>
      <c r="F85" s="211">
        <v>0</v>
      </c>
      <c r="G85" s="26"/>
      <c r="I85" s="211">
        <v>0</v>
      </c>
      <c r="J85" s="26"/>
      <c r="L85" s="210">
        <f t="shared" si="5"/>
        <v>0</v>
      </c>
      <c r="M85" s="26"/>
      <c r="O85" s="26"/>
    </row>
    <row r="86" spans="1:19" x14ac:dyDescent="0.25">
      <c r="A86" s="39" t="s">
        <v>49</v>
      </c>
      <c r="B86" s="39" t="s">
        <v>111</v>
      </c>
      <c r="C86" s="211">
        <v>0</v>
      </c>
      <c r="D86" s="26"/>
      <c r="F86" s="211">
        <v>0</v>
      </c>
      <c r="G86" s="26"/>
      <c r="I86" s="211">
        <v>0</v>
      </c>
      <c r="J86" s="26"/>
      <c r="L86" s="210">
        <f t="shared" si="5"/>
        <v>0</v>
      </c>
      <c r="M86" s="26"/>
      <c r="O86" s="26"/>
    </row>
    <row r="87" spans="1:19" x14ac:dyDescent="0.25">
      <c r="A87" s="39" t="s">
        <v>49</v>
      </c>
      <c r="B87" s="39" t="s">
        <v>130</v>
      </c>
      <c r="C87" s="211">
        <v>0</v>
      </c>
      <c r="D87" s="26"/>
      <c r="F87" s="211">
        <v>0</v>
      </c>
      <c r="G87" s="26"/>
      <c r="I87" s="211">
        <v>0</v>
      </c>
      <c r="J87" s="26"/>
      <c r="L87" s="210">
        <f t="shared" si="5"/>
        <v>0</v>
      </c>
      <c r="M87" s="26"/>
      <c r="O87" s="26"/>
    </row>
    <row r="88" spans="1:19" x14ac:dyDescent="0.25">
      <c r="A88" s="39" t="s">
        <v>49</v>
      </c>
      <c r="B88" s="39" t="s">
        <v>175</v>
      </c>
      <c r="C88" s="211">
        <v>0</v>
      </c>
      <c r="D88" s="92" t="s">
        <v>84</v>
      </c>
      <c r="E88" s="92" t="s">
        <v>85</v>
      </c>
      <c r="F88" s="211">
        <v>0</v>
      </c>
      <c r="G88" s="92" t="s">
        <v>84</v>
      </c>
      <c r="H88" s="92" t="s">
        <v>85</v>
      </c>
      <c r="I88" s="211">
        <v>0</v>
      </c>
      <c r="J88" s="92" t="s">
        <v>84</v>
      </c>
      <c r="K88" s="92" t="s">
        <v>85</v>
      </c>
      <c r="L88" s="210">
        <f t="shared" si="5"/>
        <v>0</v>
      </c>
      <c r="M88" s="208" t="s">
        <v>84</v>
      </c>
      <c r="N88" s="208" t="s">
        <v>85</v>
      </c>
      <c r="O88" s="26"/>
    </row>
    <row r="89" spans="1:19" x14ac:dyDescent="0.25">
      <c r="A89" s="89" t="s">
        <v>53</v>
      </c>
      <c r="B89" s="160"/>
      <c r="C89" s="159">
        <f>SUM(C65:C88)</f>
        <v>0</v>
      </c>
      <c r="D89" s="157">
        <f>C65+C66+C67+C68+C69+C70+C74+C75+C76+C78+C79+C80+C81+C82+C84+C86+C87+C88</f>
        <v>0</v>
      </c>
      <c r="E89" s="157">
        <f>C89-D89</f>
        <v>0</v>
      </c>
      <c r="F89" s="159">
        <f>SUM(F65:F88)</f>
        <v>0</v>
      </c>
      <c r="G89" s="157">
        <f>F65+F66+F67+F68+F69+F70+F74+F75+F76+F78+F79+F80+F81+F82+F84+F86+F87+F88</f>
        <v>0</v>
      </c>
      <c r="H89" s="157">
        <f>F89-G89</f>
        <v>0</v>
      </c>
      <c r="I89" s="159">
        <f>SUM(I65:I88)</f>
        <v>0</v>
      </c>
      <c r="J89" s="157">
        <f>I65+I66+I67+I68+I69+I70+I74+I75+I76+I78+I79+I80+I81+I82+I84+I86+I87+I88</f>
        <v>0</v>
      </c>
      <c r="K89" s="157">
        <f>I89-J89</f>
        <v>0</v>
      </c>
      <c r="L89" s="159">
        <f>SUM(L65:L88)</f>
        <v>0</v>
      </c>
      <c r="M89" s="157">
        <f>L65+L66+L67+L68+L69+L70+L74+L75+L76+L78+L79+L80+L81+L82+L84+L86+L87+L88</f>
        <v>0</v>
      </c>
      <c r="N89" s="157">
        <f>L89-M89</f>
        <v>0</v>
      </c>
      <c r="O89" s="26"/>
      <c r="R89" s="8"/>
    </row>
    <row r="90" spans="1:19" x14ac:dyDescent="0.25">
      <c r="A90" s="39"/>
      <c r="B90" s="39"/>
      <c r="D90" s="26"/>
      <c r="G90" s="26"/>
      <c r="J90" s="26"/>
      <c r="L90" s="26"/>
      <c r="M90" s="26"/>
      <c r="P90" s="6"/>
      <c r="R90" s="8"/>
    </row>
    <row r="91" spans="1:19" ht="15.75" thickBot="1" x14ac:dyDescent="0.3">
      <c r="A91" s="203"/>
      <c r="B91" s="203"/>
      <c r="D91" s="26"/>
      <c r="G91" s="26"/>
      <c r="J91" s="26"/>
      <c r="L91" s="26"/>
      <c r="M91" s="26"/>
      <c r="P91" s="6"/>
      <c r="Q91" s="148"/>
      <c r="R91" s="74"/>
    </row>
    <row r="92" spans="1:19" ht="30.75" thickBot="1" x14ac:dyDescent="0.3">
      <c r="A92" s="205" t="s">
        <v>4</v>
      </c>
      <c r="B92" s="206"/>
      <c r="C92" s="200" t="s">
        <v>211</v>
      </c>
      <c r="D92" s="206"/>
      <c r="E92" s="206"/>
      <c r="F92" s="200" t="s">
        <v>212</v>
      </c>
      <c r="G92" s="206"/>
      <c r="H92" s="206"/>
      <c r="I92" s="200" t="s">
        <v>213</v>
      </c>
      <c r="J92" s="206"/>
      <c r="K92" s="206"/>
      <c r="L92" s="207" t="s">
        <v>215</v>
      </c>
      <c r="M92" s="26"/>
      <c r="P92" s="6"/>
      <c r="Q92" s="148"/>
      <c r="R92" s="74"/>
      <c r="S92" s="173"/>
    </row>
    <row r="93" spans="1:19" x14ac:dyDescent="0.25">
      <c r="A93" s="179" t="s">
        <v>15</v>
      </c>
      <c r="B93" s="179" t="s">
        <v>124</v>
      </c>
      <c r="C93" s="211">
        <v>0</v>
      </c>
      <c r="D93" s="26"/>
      <c r="F93" s="211">
        <v>0</v>
      </c>
      <c r="G93" s="26"/>
      <c r="I93" s="211">
        <v>0</v>
      </c>
      <c r="J93" s="26"/>
      <c r="L93" s="210">
        <f>C93+F93+I93</f>
        <v>0</v>
      </c>
      <c r="M93" s="26"/>
      <c r="P93" s="74"/>
      <c r="Q93" s="26"/>
      <c r="S93" s="173"/>
    </row>
    <row r="94" spans="1:19" x14ac:dyDescent="0.25">
      <c r="A94" s="39" t="s">
        <v>49</v>
      </c>
      <c r="B94" s="39" t="s">
        <v>124</v>
      </c>
      <c r="C94" s="211">
        <v>0</v>
      </c>
      <c r="D94" s="26"/>
      <c r="F94" s="211">
        <v>0</v>
      </c>
      <c r="G94" s="26"/>
      <c r="I94" s="211">
        <v>0</v>
      </c>
      <c r="J94" s="26"/>
      <c r="L94" s="210">
        <f t="shared" ref="L94:L106" si="6">C94+F94+I94</f>
        <v>0</v>
      </c>
      <c r="M94" s="26"/>
      <c r="P94" s="74"/>
      <c r="Q94" s="26"/>
      <c r="S94" s="173"/>
    </row>
    <row r="95" spans="1:19" x14ac:dyDescent="0.25">
      <c r="A95" s="39" t="s">
        <v>15</v>
      </c>
      <c r="B95" s="39" t="s">
        <v>125</v>
      </c>
      <c r="C95" s="211">
        <v>0</v>
      </c>
      <c r="D95" s="26"/>
      <c r="F95" s="211">
        <v>0</v>
      </c>
      <c r="G95" s="26"/>
      <c r="I95" s="211">
        <v>0</v>
      </c>
      <c r="J95" s="26"/>
      <c r="L95" s="210">
        <f t="shared" si="6"/>
        <v>0</v>
      </c>
      <c r="M95" s="26"/>
      <c r="O95" s="167"/>
      <c r="P95" s="74"/>
      <c r="Q95" s="26"/>
      <c r="S95" s="173"/>
    </row>
    <row r="96" spans="1:19" x14ac:dyDescent="0.25">
      <c r="A96" s="39" t="s">
        <v>48</v>
      </c>
      <c r="B96" s="39" t="s">
        <v>125</v>
      </c>
      <c r="C96" s="211">
        <v>0</v>
      </c>
      <c r="D96" s="26"/>
      <c r="F96" s="211">
        <v>0</v>
      </c>
      <c r="G96" s="26"/>
      <c r="I96" s="211">
        <v>0</v>
      </c>
      <c r="J96" s="26"/>
      <c r="L96" s="210">
        <f t="shared" si="6"/>
        <v>0</v>
      </c>
      <c r="M96" s="26"/>
      <c r="O96" s="167"/>
      <c r="P96" s="74"/>
      <c r="Q96" s="26"/>
      <c r="S96" s="173"/>
    </row>
    <row r="97" spans="1:22" x14ac:dyDescent="0.25">
      <c r="A97" s="39" t="s">
        <v>50</v>
      </c>
      <c r="B97" s="39" t="s">
        <v>125</v>
      </c>
      <c r="C97" s="211">
        <v>0</v>
      </c>
      <c r="D97" s="26"/>
      <c r="F97" s="211">
        <v>0</v>
      </c>
      <c r="G97" s="26"/>
      <c r="I97" s="211">
        <v>0</v>
      </c>
      <c r="J97" s="26"/>
      <c r="L97" s="210">
        <f t="shared" si="6"/>
        <v>0</v>
      </c>
      <c r="M97" s="26"/>
      <c r="P97" s="74"/>
      <c r="Q97" s="26"/>
      <c r="S97" s="173"/>
    </row>
    <row r="98" spans="1:22" x14ac:dyDescent="0.25">
      <c r="A98" s="39" t="s">
        <v>49</v>
      </c>
      <c r="B98" s="39" t="s">
        <v>125</v>
      </c>
      <c r="C98" s="211">
        <v>0</v>
      </c>
      <c r="D98" s="26"/>
      <c r="F98" s="211">
        <v>0</v>
      </c>
      <c r="G98" s="26"/>
      <c r="I98" s="211">
        <v>0</v>
      </c>
      <c r="J98" s="26"/>
      <c r="L98" s="210">
        <f t="shared" si="6"/>
        <v>0</v>
      </c>
      <c r="M98" s="26"/>
      <c r="O98" s="167"/>
      <c r="P98" s="74"/>
      <c r="Q98" s="26"/>
    </row>
    <row r="99" spans="1:22" x14ac:dyDescent="0.25">
      <c r="A99" s="39" t="s">
        <v>15</v>
      </c>
      <c r="B99" s="39" t="s">
        <v>118</v>
      </c>
      <c r="C99" s="211">
        <v>0</v>
      </c>
      <c r="D99" s="26"/>
      <c r="F99" s="211">
        <v>0</v>
      </c>
      <c r="G99" s="26"/>
      <c r="I99" s="211">
        <v>0</v>
      </c>
      <c r="J99" s="26"/>
      <c r="L99" s="210">
        <f t="shared" si="6"/>
        <v>0</v>
      </c>
      <c r="M99" s="26"/>
      <c r="P99" s="74"/>
      <c r="Q99" s="26"/>
    </row>
    <row r="100" spans="1:22" x14ac:dyDescent="0.25">
      <c r="A100" s="39" t="s">
        <v>15</v>
      </c>
      <c r="B100" s="39" t="s">
        <v>61</v>
      </c>
      <c r="C100" s="211">
        <v>0</v>
      </c>
      <c r="D100" s="26"/>
      <c r="F100" s="211">
        <v>0</v>
      </c>
      <c r="G100" s="26"/>
      <c r="I100" s="211">
        <v>0</v>
      </c>
      <c r="J100" s="26"/>
      <c r="L100" s="210">
        <f t="shared" si="6"/>
        <v>0</v>
      </c>
      <c r="M100" s="26"/>
      <c r="P100" s="173"/>
      <c r="Q100" s="26"/>
    </row>
    <row r="101" spans="1:22" x14ac:dyDescent="0.25">
      <c r="A101" s="39" t="s">
        <v>48</v>
      </c>
      <c r="B101" s="39" t="s">
        <v>118</v>
      </c>
      <c r="C101" s="211">
        <v>0</v>
      </c>
      <c r="D101" s="26"/>
      <c r="F101" s="211">
        <v>0</v>
      </c>
      <c r="G101" s="26"/>
      <c r="I101" s="211">
        <v>0</v>
      </c>
      <c r="J101" s="26"/>
      <c r="L101" s="210">
        <f t="shared" si="6"/>
        <v>0</v>
      </c>
      <c r="M101" s="26"/>
      <c r="O101" s="26"/>
      <c r="P101" s="173"/>
      <c r="Q101" s="26"/>
    </row>
    <row r="102" spans="1:22" x14ac:dyDescent="0.25">
      <c r="A102" s="39" t="s">
        <v>48</v>
      </c>
      <c r="B102" s="39" t="s">
        <v>61</v>
      </c>
      <c r="C102" s="211">
        <v>0</v>
      </c>
      <c r="D102" s="26"/>
      <c r="F102" s="211">
        <v>0</v>
      </c>
      <c r="G102" s="26"/>
      <c r="I102" s="211">
        <v>0</v>
      </c>
      <c r="J102" s="26"/>
      <c r="L102" s="210">
        <f t="shared" si="6"/>
        <v>0</v>
      </c>
      <c r="M102" s="26"/>
      <c r="O102" s="26"/>
      <c r="P102" s="173"/>
      <c r="Q102" s="26"/>
    </row>
    <row r="103" spans="1:22" x14ac:dyDescent="0.25">
      <c r="A103" s="39" t="s">
        <v>50</v>
      </c>
      <c r="B103" s="39" t="s">
        <v>118</v>
      </c>
      <c r="C103" s="211">
        <v>0</v>
      </c>
      <c r="D103" s="26"/>
      <c r="F103" s="211">
        <v>0</v>
      </c>
      <c r="G103" s="26"/>
      <c r="I103" s="211">
        <v>0</v>
      </c>
      <c r="J103" s="26"/>
      <c r="L103" s="210">
        <f t="shared" si="6"/>
        <v>0</v>
      </c>
      <c r="M103" s="26"/>
      <c r="O103" s="26"/>
      <c r="P103" s="173"/>
      <c r="Q103" s="26"/>
    </row>
    <row r="104" spans="1:22" x14ac:dyDescent="0.25">
      <c r="A104" s="39" t="s">
        <v>50</v>
      </c>
      <c r="B104" s="39" t="s">
        <v>37</v>
      </c>
      <c r="C104" s="211">
        <v>0</v>
      </c>
      <c r="D104" s="26"/>
      <c r="F104" s="211">
        <v>0</v>
      </c>
      <c r="G104" s="26"/>
      <c r="I104" s="211">
        <v>0</v>
      </c>
      <c r="J104" s="26"/>
      <c r="L104" s="210">
        <f t="shared" si="6"/>
        <v>0</v>
      </c>
      <c r="M104" s="26"/>
      <c r="P104" s="173"/>
      <c r="Q104" s="26"/>
    </row>
    <row r="105" spans="1:22" x14ac:dyDescent="0.25">
      <c r="A105" s="39" t="s">
        <v>49</v>
      </c>
      <c r="B105" s="39" t="s">
        <v>118</v>
      </c>
      <c r="C105" s="211">
        <v>0</v>
      </c>
      <c r="D105" s="26"/>
      <c r="F105" s="211">
        <v>0</v>
      </c>
      <c r="G105" s="26"/>
      <c r="I105" s="211">
        <v>0</v>
      </c>
      <c r="J105" s="26"/>
      <c r="L105" s="210">
        <f t="shared" si="6"/>
        <v>0</v>
      </c>
      <c r="M105" s="26"/>
      <c r="P105" s="173"/>
      <c r="Q105" s="26"/>
    </row>
    <row r="106" spans="1:22" x14ac:dyDescent="0.25">
      <c r="A106" s="39" t="s">
        <v>49</v>
      </c>
      <c r="B106" s="39" t="s">
        <v>61</v>
      </c>
      <c r="C106" s="211">
        <v>0</v>
      </c>
      <c r="D106" s="92" t="s">
        <v>84</v>
      </c>
      <c r="E106" s="92" t="s">
        <v>85</v>
      </c>
      <c r="F106" s="211">
        <v>0</v>
      </c>
      <c r="G106" s="92" t="s">
        <v>84</v>
      </c>
      <c r="H106" s="92" t="s">
        <v>85</v>
      </c>
      <c r="I106" s="211">
        <v>0</v>
      </c>
      <c r="J106" s="92" t="s">
        <v>84</v>
      </c>
      <c r="K106" s="92" t="s">
        <v>85</v>
      </c>
      <c r="L106" s="210">
        <f t="shared" si="6"/>
        <v>0</v>
      </c>
      <c r="M106" s="208" t="s">
        <v>84</v>
      </c>
      <c r="N106" s="208" t="s">
        <v>85</v>
      </c>
      <c r="P106" s="173"/>
      <c r="R106" s="8"/>
    </row>
    <row r="107" spans="1:22" x14ac:dyDescent="0.25">
      <c r="A107" s="89" t="s">
        <v>53</v>
      </c>
      <c r="B107" s="160"/>
      <c r="C107" s="159">
        <f>SUM(C93:C106)</f>
        <v>0</v>
      </c>
      <c r="D107" s="157">
        <f>C93+C94+C95+C96+C97+C98+C99+C100+C101+C102+C103+C104+C105+C106</f>
        <v>0</v>
      </c>
      <c r="E107" s="157">
        <f>C107-D107</f>
        <v>0</v>
      </c>
      <c r="F107" s="159">
        <f>SUM(F93:F106)</f>
        <v>0</v>
      </c>
      <c r="G107" s="157">
        <f>F93+F94+F95+F96+F97+F98+F99+F100+F101+F102+F103+F104+F105+F106</f>
        <v>0</v>
      </c>
      <c r="H107" s="157">
        <f>F107-G107</f>
        <v>0</v>
      </c>
      <c r="I107" s="159">
        <f>SUM(I93:I106)</f>
        <v>0</v>
      </c>
      <c r="J107" s="157">
        <f>I93+I94+I95+I96+I97+I98+I99+I100+I101+I102+I103+I104+I105+I106</f>
        <v>0</v>
      </c>
      <c r="K107" s="157">
        <f>I107-J107</f>
        <v>0</v>
      </c>
      <c r="L107" s="159">
        <f>SUM(L93:L106)</f>
        <v>0</v>
      </c>
      <c r="M107" s="157">
        <f>L93+L94+L95+L96+L97+L98+L99+L100+L101+L102+L103+L104+L105+L106</f>
        <v>0</v>
      </c>
      <c r="N107" s="157">
        <f>L107-M107</f>
        <v>0</v>
      </c>
      <c r="P107" s="173"/>
      <c r="R107" s="8"/>
    </row>
    <row r="108" spans="1:22" x14ac:dyDescent="0.25">
      <c r="A108" s="75"/>
      <c r="B108" s="75"/>
      <c r="D108" s="26"/>
      <c r="G108" s="26"/>
      <c r="J108" s="26"/>
      <c r="L108" s="26"/>
      <c r="M108" s="26"/>
      <c r="P108" s="173"/>
      <c r="Q108" s="148"/>
      <c r="R108" s="8"/>
    </row>
    <row r="109" spans="1:22" ht="15.75" thickBot="1" x14ac:dyDescent="0.3">
      <c r="B109" s="75"/>
      <c r="D109" s="26"/>
      <c r="G109" s="26"/>
      <c r="J109" s="26"/>
      <c r="L109" s="26"/>
      <c r="M109" s="26"/>
      <c r="Q109" s="148"/>
      <c r="R109" s="8"/>
    </row>
    <row r="110" spans="1:22" ht="30.75" thickBot="1" x14ac:dyDescent="0.3">
      <c r="A110" s="205" t="s">
        <v>83</v>
      </c>
      <c r="B110" s="198" t="s">
        <v>35</v>
      </c>
      <c r="C110" s="200" t="s">
        <v>211</v>
      </c>
      <c r="D110" s="206"/>
      <c r="E110" s="206"/>
      <c r="F110" s="200" t="s">
        <v>212</v>
      </c>
      <c r="G110" s="206"/>
      <c r="H110" s="206"/>
      <c r="I110" s="200" t="s">
        <v>213</v>
      </c>
      <c r="J110" s="206"/>
      <c r="K110" s="206"/>
      <c r="L110" s="207" t="s">
        <v>215</v>
      </c>
      <c r="M110" s="26"/>
      <c r="N110" s="26"/>
      <c r="P110" s="148"/>
      <c r="Q110" s="59"/>
      <c r="R110" s="59"/>
      <c r="S110" s="178"/>
    </row>
    <row r="111" spans="1:22" x14ac:dyDescent="0.25">
      <c r="A111" s="179" t="s">
        <v>16</v>
      </c>
      <c r="B111" t="s">
        <v>164</v>
      </c>
      <c r="C111" s="211">
        <v>0</v>
      </c>
      <c r="D111" s="26"/>
      <c r="E111" s="74"/>
      <c r="F111" s="211">
        <v>0</v>
      </c>
      <c r="G111" s="26"/>
      <c r="H111" s="74"/>
      <c r="I111" s="211">
        <v>0</v>
      </c>
      <c r="J111" s="26"/>
      <c r="K111" s="74"/>
      <c r="L111" s="210">
        <f t="shared" ref="L111:L134" si="7">C111+F111+I111</f>
        <v>0</v>
      </c>
      <c r="M111" s="26"/>
      <c r="N111" s="74"/>
      <c r="P111" s="26"/>
      <c r="Q111" s="26"/>
      <c r="S111" s="59"/>
      <c r="V111" s="8"/>
    </row>
    <row r="112" spans="1:22" x14ac:dyDescent="0.25">
      <c r="A112" s="39" t="s">
        <v>16</v>
      </c>
      <c r="B112" s="41" t="s">
        <v>145</v>
      </c>
      <c r="C112" s="211">
        <v>0</v>
      </c>
      <c r="D112" s="26"/>
      <c r="E112" s="74"/>
      <c r="F112" s="211">
        <v>0</v>
      </c>
      <c r="G112" s="26"/>
      <c r="H112" s="74"/>
      <c r="I112" s="211">
        <v>0</v>
      </c>
      <c r="J112" s="26"/>
      <c r="K112" s="74"/>
      <c r="L112" s="210">
        <f t="shared" si="7"/>
        <v>0</v>
      </c>
      <c r="M112" s="26"/>
      <c r="N112" s="74"/>
      <c r="P112" s="26"/>
      <c r="Q112" s="26"/>
      <c r="S112" s="26"/>
      <c r="V112" s="8"/>
    </row>
    <row r="113" spans="1:22" x14ac:dyDescent="0.25">
      <c r="A113" s="39" t="s">
        <v>16</v>
      </c>
      <c r="B113" s="41" t="s">
        <v>146</v>
      </c>
      <c r="C113" s="211">
        <v>0</v>
      </c>
      <c r="D113" s="26"/>
      <c r="E113" s="74"/>
      <c r="F113" s="211">
        <v>0</v>
      </c>
      <c r="G113" s="26"/>
      <c r="H113" s="74"/>
      <c r="I113" s="211">
        <v>0</v>
      </c>
      <c r="J113" s="26"/>
      <c r="K113" s="74"/>
      <c r="L113" s="210">
        <f t="shared" si="7"/>
        <v>0</v>
      </c>
      <c r="M113" s="26"/>
      <c r="N113" s="74"/>
      <c r="P113" s="26"/>
      <c r="Q113" s="26"/>
      <c r="S113" s="26"/>
      <c r="V113" s="8"/>
    </row>
    <row r="114" spans="1:22" x14ac:dyDescent="0.25">
      <c r="A114" s="39" t="s">
        <v>16</v>
      </c>
      <c r="B114" s="41" t="s">
        <v>147</v>
      </c>
      <c r="C114" s="211">
        <v>0</v>
      </c>
      <c r="D114" s="26"/>
      <c r="E114" s="74"/>
      <c r="F114" s="211">
        <v>0</v>
      </c>
      <c r="G114" s="26"/>
      <c r="H114" s="74"/>
      <c r="I114" s="211">
        <v>0</v>
      </c>
      <c r="J114" s="26"/>
      <c r="K114" s="74"/>
      <c r="L114" s="210">
        <f t="shared" si="7"/>
        <v>0</v>
      </c>
      <c r="M114" s="26"/>
      <c r="N114" s="74"/>
      <c r="P114" s="26"/>
      <c r="Q114" s="26"/>
      <c r="S114" s="26"/>
      <c r="V114" s="8"/>
    </row>
    <row r="115" spans="1:22" x14ac:dyDescent="0.25">
      <c r="A115" s="39" t="s">
        <v>16</v>
      </c>
      <c r="B115" s="41" t="s">
        <v>148</v>
      </c>
      <c r="C115" s="211">
        <v>0</v>
      </c>
      <c r="D115" s="26"/>
      <c r="E115" s="74"/>
      <c r="F115" s="211">
        <v>0</v>
      </c>
      <c r="G115" s="26"/>
      <c r="H115" s="74"/>
      <c r="I115" s="211">
        <v>0</v>
      </c>
      <c r="J115" s="26"/>
      <c r="K115" s="74"/>
      <c r="L115" s="210">
        <f t="shared" si="7"/>
        <v>0</v>
      </c>
      <c r="M115" s="26"/>
      <c r="N115" s="74"/>
      <c r="P115" s="26"/>
      <c r="Q115" s="26"/>
      <c r="S115" s="26"/>
      <c r="V115" s="8"/>
    </row>
    <row r="116" spans="1:22" x14ac:dyDescent="0.25">
      <c r="A116" s="39" t="s">
        <v>16</v>
      </c>
      <c r="B116" s="41" t="s">
        <v>149</v>
      </c>
      <c r="C116" s="211">
        <v>0</v>
      </c>
      <c r="D116" s="26"/>
      <c r="E116" s="74"/>
      <c r="F116" s="211">
        <v>0</v>
      </c>
      <c r="G116" s="26"/>
      <c r="H116" s="74"/>
      <c r="I116" s="211">
        <v>0</v>
      </c>
      <c r="J116" s="26"/>
      <c r="K116" s="74"/>
      <c r="L116" s="210">
        <f t="shared" si="7"/>
        <v>0</v>
      </c>
      <c r="M116" s="26"/>
      <c r="N116" s="74"/>
      <c r="P116" s="26"/>
      <c r="Q116" s="26"/>
      <c r="S116" s="26"/>
      <c r="V116" s="8"/>
    </row>
    <row r="117" spans="1:22" x14ac:dyDescent="0.25">
      <c r="A117" s="39" t="s">
        <v>16</v>
      </c>
      <c r="B117" s="41" t="s">
        <v>150</v>
      </c>
      <c r="C117" s="211">
        <v>0</v>
      </c>
      <c r="D117" s="26"/>
      <c r="E117" s="74"/>
      <c r="F117" s="211">
        <v>0</v>
      </c>
      <c r="G117" s="26"/>
      <c r="H117" s="74"/>
      <c r="I117" s="211">
        <v>0</v>
      </c>
      <c r="J117" s="26"/>
      <c r="K117" s="74"/>
      <c r="L117" s="210">
        <f t="shared" si="7"/>
        <v>0</v>
      </c>
      <c r="M117" s="26"/>
      <c r="N117" s="74"/>
      <c r="P117" s="26"/>
      <c r="Q117" s="26"/>
      <c r="S117" s="26"/>
      <c r="V117" s="8"/>
    </row>
    <row r="118" spans="1:22" x14ac:dyDescent="0.25">
      <c r="A118" s="39" t="s">
        <v>16</v>
      </c>
      <c r="B118" s="41" t="s">
        <v>151</v>
      </c>
      <c r="C118" s="211">
        <v>0</v>
      </c>
      <c r="D118" s="26"/>
      <c r="E118" s="74"/>
      <c r="F118" s="211">
        <v>0</v>
      </c>
      <c r="G118" s="26"/>
      <c r="H118" s="74"/>
      <c r="I118" s="211">
        <v>0</v>
      </c>
      <c r="J118" s="26"/>
      <c r="K118" s="74"/>
      <c r="L118" s="210">
        <f t="shared" si="7"/>
        <v>0</v>
      </c>
      <c r="M118" s="26"/>
      <c r="N118" s="74"/>
      <c r="P118" s="26"/>
      <c r="Q118" s="26"/>
      <c r="S118" s="26"/>
      <c r="V118" s="8"/>
    </row>
    <row r="119" spans="1:22" x14ac:dyDescent="0.25">
      <c r="A119" s="39" t="s">
        <v>16</v>
      </c>
      <c r="B119" s="41" t="s">
        <v>152</v>
      </c>
      <c r="C119" s="211">
        <v>0</v>
      </c>
      <c r="D119" s="26"/>
      <c r="E119" s="74"/>
      <c r="F119" s="211">
        <v>0</v>
      </c>
      <c r="G119" s="26"/>
      <c r="H119" s="74"/>
      <c r="I119" s="211">
        <v>0</v>
      </c>
      <c r="J119" s="26"/>
      <c r="K119" s="74"/>
      <c r="L119" s="210">
        <f t="shared" si="7"/>
        <v>0</v>
      </c>
      <c r="M119" s="26"/>
      <c r="N119" s="74"/>
      <c r="P119" s="26"/>
      <c r="Q119" s="26"/>
      <c r="S119" s="26"/>
      <c r="V119" s="8"/>
    </row>
    <row r="120" spans="1:22" x14ac:dyDescent="0.25">
      <c r="A120" s="39" t="s">
        <v>16</v>
      </c>
      <c r="B120" s="41" t="s">
        <v>153</v>
      </c>
      <c r="C120" s="211">
        <v>0</v>
      </c>
      <c r="D120" s="26"/>
      <c r="E120" s="74"/>
      <c r="F120" s="211">
        <v>0</v>
      </c>
      <c r="G120" s="26"/>
      <c r="H120" s="74"/>
      <c r="I120" s="211">
        <v>0</v>
      </c>
      <c r="J120" s="26"/>
      <c r="K120" s="74"/>
      <c r="L120" s="210">
        <f t="shared" si="7"/>
        <v>0</v>
      </c>
      <c r="M120" s="26"/>
      <c r="N120" s="74"/>
      <c r="P120" s="26"/>
      <c r="Q120" s="26"/>
      <c r="S120" s="26"/>
      <c r="V120" s="8"/>
    </row>
    <row r="121" spans="1:22" x14ac:dyDescent="0.25">
      <c r="A121" s="39" t="s">
        <v>16</v>
      </c>
      <c r="B121" s="41" t="s">
        <v>154</v>
      </c>
      <c r="C121" s="211">
        <v>0</v>
      </c>
      <c r="D121" s="26"/>
      <c r="E121" s="74"/>
      <c r="F121" s="211">
        <v>0</v>
      </c>
      <c r="G121" s="26"/>
      <c r="H121" s="74"/>
      <c r="I121" s="211">
        <v>0</v>
      </c>
      <c r="J121" s="26"/>
      <c r="K121" s="74"/>
      <c r="L121" s="210">
        <f t="shared" si="7"/>
        <v>0</v>
      </c>
      <c r="M121" s="26"/>
      <c r="N121" s="74"/>
      <c r="P121" s="26"/>
      <c r="Q121" s="26"/>
      <c r="S121" s="26"/>
      <c r="V121" s="8"/>
    </row>
    <row r="122" spans="1:22" x14ac:dyDescent="0.25">
      <c r="A122" s="39" t="s">
        <v>16</v>
      </c>
      <c r="B122" s="41" t="s">
        <v>155</v>
      </c>
      <c r="C122" s="211">
        <v>0</v>
      </c>
      <c r="D122" s="26"/>
      <c r="E122" s="74"/>
      <c r="F122" s="211">
        <v>0</v>
      </c>
      <c r="G122" s="26"/>
      <c r="H122" s="74"/>
      <c r="I122" s="211">
        <v>0</v>
      </c>
      <c r="J122" s="26"/>
      <c r="K122" s="74"/>
      <c r="L122" s="210">
        <f t="shared" si="7"/>
        <v>0</v>
      </c>
      <c r="M122" s="26"/>
      <c r="N122" s="74"/>
      <c r="P122" s="26"/>
      <c r="Q122" s="26"/>
      <c r="S122" s="26"/>
      <c r="V122" s="8"/>
    </row>
    <row r="123" spans="1:22" x14ac:dyDescent="0.25">
      <c r="A123" s="39" t="s">
        <v>16</v>
      </c>
      <c r="B123" s="41" t="s">
        <v>156</v>
      </c>
      <c r="C123" s="211">
        <v>0</v>
      </c>
      <c r="D123" s="26"/>
      <c r="E123" s="74"/>
      <c r="F123" s="211">
        <v>0</v>
      </c>
      <c r="G123" s="26"/>
      <c r="H123" s="74"/>
      <c r="I123" s="211">
        <v>0</v>
      </c>
      <c r="J123" s="26"/>
      <c r="K123" s="74"/>
      <c r="L123" s="210">
        <f t="shared" si="7"/>
        <v>0</v>
      </c>
      <c r="M123" s="26"/>
      <c r="N123" s="74"/>
      <c r="P123" s="26"/>
      <c r="Q123" s="26"/>
      <c r="S123" s="26"/>
      <c r="V123" s="8"/>
    </row>
    <row r="124" spans="1:22" x14ac:dyDescent="0.25">
      <c r="A124" s="39" t="s">
        <v>16</v>
      </c>
      <c r="B124" s="41" t="s">
        <v>157</v>
      </c>
      <c r="C124" s="211">
        <v>0</v>
      </c>
      <c r="D124" s="26"/>
      <c r="E124" s="74"/>
      <c r="F124" s="211">
        <v>0</v>
      </c>
      <c r="G124" s="26"/>
      <c r="H124" s="74"/>
      <c r="I124" s="211">
        <v>0</v>
      </c>
      <c r="J124" s="26"/>
      <c r="K124" s="74"/>
      <c r="L124" s="210">
        <f t="shared" si="7"/>
        <v>0</v>
      </c>
      <c r="M124" s="26"/>
      <c r="N124" s="74"/>
      <c r="P124" s="26"/>
      <c r="Q124" s="26"/>
      <c r="S124" s="26"/>
      <c r="V124" s="8"/>
    </row>
    <row r="125" spans="1:22" x14ac:dyDescent="0.25">
      <c r="A125" s="39" t="s">
        <v>16</v>
      </c>
      <c r="B125" s="41" t="s">
        <v>158</v>
      </c>
      <c r="C125" s="211">
        <v>0</v>
      </c>
      <c r="D125" s="26"/>
      <c r="E125" s="74"/>
      <c r="F125" s="211">
        <v>0</v>
      </c>
      <c r="G125" s="26"/>
      <c r="H125" s="74"/>
      <c r="I125" s="211">
        <v>0</v>
      </c>
      <c r="J125" s="26"/>
      <c r="K125" s="74"/>
      <c r="L125" s="210">
        <f t="shared" si="7"/>
        <v>0</v>
      </c>
      <c r="M125" s="26"/>
      <c r="N125" s="74"/>
      <c r="P125" s="26"/>
      <c r="Q125" s="26"/>
      <c r="S125" s="26"/>
      <c r="V125" s="8"/>
    </row>
    <row r="126" spans="1:22" x14ac:dyDescent="0.25">
      <c r="A126" s="39" t="s">
        <v>16</v>
      </c>
      <c r="B126" s="41" t="s">
        <v>159</v>
      </c>
      <c r="C126" s="211">
        <v>0</v>
      </c>
      <c r="D126" s="26"/>
      <c r="E126" s="74"/>
      <c r="F126" s="211">
        <v>0</v>
      </c>
      <c r="G126" s="26"/>
      <c r="H126" s="74"/>
      <c r="I126" s="211">
        <v>0</v>
      </c>
      <c r="J126" s="26"/>
      <c r="K126" s="74"/>
      <c r="L126" s="210">
        <f t="shared" si="7"/>
        <v>0</v>
      </c>
      <c r="M126" s="26"/>
      <c r="N126" s="74"/>
      <c r="P126" s="26"/>
      <c r="Q126" s="26"/>
      <c r="S126" s="26"/>
      <c r="V126" s="8"/>
    </row>
    <row r="127" spans="1:22" x14ac:dyDescent="0.25">
      <c r="A127" s="39" t="s">
        <v>16</v>
      </c>
      <c r="B127" s="41" t="s">
        <v>160</v>
      </c>
      <c r="C127" s="211">
        <v>0</v>
      </c>
      <c r="D127" s="26"/>
      <c r="E127" s="74"/>
      <c r="F127" s="211">
        <v>0</v>
      </c>
      <c r="G127" s="26"/>
      <c r="H127" s="74"/>
      <c r="I127" s="211">
        <v>0</v>
      </c>
      <c r="J127" s="26"/>
      <c r="K127" s="74"/>
      <c r="L127" s="210">
        <f t="shared" si="7"/>
        <v>0</v>
      </c>
      <c r="M127" s="26"/>
      <c r="N127" s="74"/>
      <c r="P127" s="26"/>
      <c r="Q127" s="26"/>
      <c r="S127" s="26"/>
      <c r="V127" s="8"/>
    </row>
    <row r="128" spans="1:22" x14ac:dyDescent="0.25">
      <c r="A128" s="39" t="s">
        <v>16</v>
      </c>
      <c r="B128" s="41" t="s">
        <v>161</v>
      </c>
      <c r="C128" s="211">
        <v>0</v>
      </c>
      <c r="E128" s="74"/>
      <c r="F128" s="211">
        <v>0</v>
      </c>
      <c r="H128" s="74"/>
      <c r="I128" s="211">
        <v>0</v>
      </c>
      <c r="K128" s="74"/>
      <c r="L128" s="210">
        <f t="shared" si="7"/>
        <v>0</v>
      </c>
      <c r="N128" s="74"/>
      <c r="P128" s="26"/>
      <c r="Q128" s="26"/>
      <c r="S128" s="26"/>
      <c r="V128" s="8"/>
    </row>
    <row r="129" spans="1:22" x14ac:dyDescent="0.25">
      <c r="A129" s="39" t="s">
        <v>16</v>
      </c>
      <c r="B129" s="41" t="s">
        <v>162</v>
      </c>
      <c r="C129" s="211">
        <v>0</v>
      </c>
      <c r="E129" s="74"/>
      <c r="F129" s="211">
        <v>0</v>
      </c>
      <c r="H129" s="74"/>
      <c r="I129" s="211">
        <v>0</v>
      </c>
      <c r="K129" s="74"/>
      <c r="L129" s="210">
        <f t="shared" si="7"/>
        <v>0</v>
      </c>
      <c r="N129" s="74"/>
      <c r="P129" s="26"/>
      <c r="Q129" s="26"/>
      <c r="S129" s="26"/>
      <c r="V129" s="8"/>
    </row>
    <row r="130" spans="1:22" x14ac:dyDescent="0.25">
      <c r="A130" s="39" t="s">
        <v>16</v>
      </c>
      <c r="B130" s="41" t="s">
        <v>202</v>
      </c>
      <c r="C130" s="211">
        <v>0</v>
      </c>
      <c r="E130" s="74"/>
      <c r="F130" s="211">
        <v>0</v>
      </c>
      <c r="H130" s="74"/>
      <c r="I130" s="211">
        <v>0</v>
      </c>
      <c r="K130" s="74"/>
      <c r="L130" s="210">
        <f t="shared" si="7"/>
        <v>0</v>
      </c>
      <c r="N130" s="74"/>
      <c r="P130" s="26"/>
      <c r="Q130" s="26"/>
      <c r="S130" s="26"/>
      <c r="V130" s="8"/>
    </row>
    <row r="131" spans="1:22" x14ac:dyDescent="0.25">
      <c r="A131" s="39" t="s">
        <v>16</v>
      </c>
      <c r="B131" s="41" t="s">
        <v>163</v>
      </c>
      <c r="C131" s="211">
        <v>0</v>
      </c>
      <c r="E131" s="74"/>
      <c r="F131" s="211">
        <v>0</v>
      </c>
      <c r="H131" s="74"/>
      <c r="I131" s="211">
        <v>0</v>
      </c>
      <c r="K131" s="74"/>
      <c r="L131" s="210">
        <f t="shared" si="7"/>
        <v>0</v>
      </c>
      <c r="N131" s="74"/>
      <c r="P131" s="26"/>
      <c r="Q131" s="26"/>
      <c r="S131" s="26"/>
    </row>
    <row r="132" spans="1:22" x14ac:dyDescent="0.25">
      <c r="A132" s="39" t="s">
        <v>16</v>
      </c>
      <c r="B132" s="41" t="s">
        <v>165</v>
      </c>
      <c r="C132" s="211">
        <v>0</v>
      </c>
      <c r="D132" s="26"/>
      <c r="E132" s="74"/>
      <c r="F132" s="211">
        <v>0</v>
      </c>
      <c r="G132" s="26"/>
      <c r="H132" s="74"/>
      <c r="I132" s="211">
        <v>0</v>
      </c>
      <c r="J132" s="26"/>
      <c r="K132" s="74"/>
      <c r="L132" s="210">
        <f t="shared" si="7"/>
        <v>0</v>
      </c>
      <c r="M132" s="26"/>
      <c r="N132" s="74"/>
      <c r="P132" s="26"/>
      <c r="Q132" s="26"/>
      <c r="S132" s="26"/>
      <c r="V132" s="8"/>
    </row>
    <row r="133" spans="1:22" x14ac:dyDescent="0.25">
      <c r="A133" s="39" t="s">
        <v>16</v>
      </c>
      <c r="B133" s="41" t="s">
        <v>166</v>
      </c>
      <c r="C133" s="211">
        <v>0</v>
      </c>
      <c r="D133" s="26"/>
      <c r="E133" s="74"/>
      <c r="F133" s="211">
        <v>0</v>
      </c>
      <c r="G133" s="26"/>
      <c r="H133" s="74"/>
      <c r="I133" s="211">
        <v>0</v>
      </c>
      <c r="J133" s="26"/>
      <c r="K133" s="74"/>
      <c r="L133" s="210">
        <f t="shared" si="7"/>
        <v>0</v>
      </c>
      <c r="M133" s="26"/>
      <c r="N133" s="74"/>
      <c r="P133" s="26"/>
      <c r="Q133" s="26"/>
      <c r="S133" s="26"/>
      <c r="V133" s="8"/>
    </row>
    <row r="134" spans="1:22" x14ac:dyDescent="0.25">
      <c r="A134" s="39" t="s">
        <v>16</v>
      </c>
      <c r="B134" s="41" t="s">
        <v>167</v>
      </c>
      <c r="C134" s="211">
        <v>0</v>
      </c>
      <c r="D134" s="26"/>
      <c r="E134" s="74"/>
      <c r="F134" s="211">
        <v>0</v>
      </c>
      <c r="G134" s="26"/>
      <c r="H134" s="74"/>
      <c r="I134" s="211">
        <v>0</v>
      </c>
      <c r="J134" s="26"/>
      <c r="K134" s="74"/>
      <c r="L134" s="210">
        <f t="shared" si="7"/>
        <v>0</v>
      </c>
      <c r="M134" s="26"/>
      <c r="N134" s="74"/>
      <c r="P134" s="26"/>
      <c r="Q134" s="26"/>
      <c r="S134" s="26"/>
      <c r="V134" s="8"/>
    </row>
    <row r="135" spans="1:22" x14ac:dyDescent="0.25">
      <c r="A135" s="60" t="s">
        <v>53</v>
      </c>
      <c r="C135" s="157">
        <f>SUM(C111:C134)</f>
        <v>0</v>
      </c>
      <c r="F135" s="157">
        <f>SUM(F111:F134)</f>
        <v>0</v>
      </c>
      <c r="I135" s="157">
        <f>SUM(I111:I134)</f>
        <v>0</v>
      </c>
      <c r="L135" s="157">
        <f>SUM(L111:L134)</f>
        <v>0</v>
      </c>
    </row>
    <row r="136" spans="1:22" x14ac:dyDescent="0.25">
      <c r="L136" s="8"/>
    </row>
    <row r="137" spans="1:22" ht="15.75" thickBot="1" x14ac:dyDescent="0.3">
      <c r="A137" s="26"/>
      <c r="L137" s="8"/>
    </row>
    <row r="138" spans="1:22" x14ac:dyDescent="0.25">
      <c r="A138" s="171" t="s">
        <v>129</v>
      </c>
      <c r="L138" s="8"/>
    </row>
    <row r="139" spans="1:22" x14ac:dyDescent="0.25">
      <c r="A139" s="169" t="s">
        <v>126</v>
      </c>
    </row>
    <row r="140" spans="1:22" x14ac:dyDescent="0.25">
      <c r="A140" s="169" t="s">
        <v>127</v>
      </c>
    </row>
    <row r="141" spans="1:22" ht="15.75" thickBot="1" x14ac:dyDescent="0.3">
      <c r="A141" s="170" t="s">
        <v>128</v>
      </c>
    </row>
    <row r="142" spans="1:22" ht="15.75" thickBot="1" x14ac:dyDescent="0.3"/>
    <row r="143" spans="1:22" x14ac:dyDescent="0.25">
      <c r="A143" s="171" t="s">
        <v>187</v>
      </c>
      <c r="C143"/>
      <c r="F143"/>
      <c r="I143"/>
      <c r="O143" s="1"/>
      <c r="P143" s="8"/>
      <c r="S143" s="173"/>
      <c r="T143" s="26"/>
    </row>
    <row r="144" spans="1:22" x14ac:dyDescent="0.25">
      <c r="A144" s="169" t="s">
        <v>188</v>
      </c>
      <c r="C144"/>
      <c r="F144"/>
      <c r="I144"/>
      <c r="O144" s="1"/>
      <c r="P144" s="8"/>
      <c r="S144" s="173"/>
    </row>
    <row r="145" spans="1:19" ht="15.75" thickBot="1" x14ac:dyDescent="0.3">
      <c r="A145" s="170"/>
      <c r="C145"/>
      <c r="F145"/>
      <c r="I145"/>
      <c r="O145" s="1"/>
      <c r="S145" s="173"/>
    </row>
  </sheetData>
  <pageMargins left="0.7" right="0.7" top="0.75" bottom="0.75" header="0.3" footer="0.3"/>
  <pageSetup paperSize="9" scale="58"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AF128"/>
  <sheetViews>
    <sheetView topLeftCell="A10" workbookViewId="0">
      <selection activeCell="S14" sqref="S14"/>
    </sheetView>
  </sheetViews>
  <sheetFormatPr defaultRowHeight="15" x14ac:dyDescent="0.25"/>
  <cols>
    <col min="1" max="1" width="42.42578125" customWidth="1"/>
    <col min="2" max="2" width="33.28515625" customWidth="1"/>
    <col min="3" max="3" width="8.85546875" style="1" hidden="1" customWidth="1"/>
    <col min="4" max="5" width="8.85546875" hidden="1" customWidth="1"/>
    <col min="6" max="6" width="8.85546875" style="1" hidden="1" customWidth="1"/>
    <col min="7" max="8" width="8.85546875" hidden="1" customWidth="1"/>
    <col min="9" max="9" width="8.85546875" style="1" hidden="1" customWidth="1"/>
    <col min="10" max="11" width="8.85546875" hidden="1" customWidth="1"/>
    <col min="12" max="12" width="8.85546875" style="1"/>
    <col min="15" max="15" width="8.85546875" style="1"/>
    <col min="18" max="18" width="8.85546875" style="1"/>
    <col min="21" max="21" width="9.7109375" customWidth="1"/>
    <col min="25" max="25" width="33.7109375" customWidth="1"/>
  </cols>
  <sheetData>
    <row r="1" spans="1:32" ht="15.75" thickBot="1" x14ac:dyDescent="0.3">
      <c r="A1" s="174" t="s">
        <v>27</v>
      </c>
      <c r="B1" s="174" t="s">
        <v>168</v>
      </c>
      <c r="C1" s="175"/>
      <c r="D1" s="175"/>
      <c r="E1" s="175"/>
      <c r="F1" s="175"/>
      <c r="G1" s="175"/>
      <c r="H1" s="175"/>
      <c r="I1" s="175"/>
      <c r="J1" s="175"/>
      <c r="K1" s="175"/>
      <c r="L1" s="175"/>
      <c r="M1" s="175"/>
      <c r="N1" s="175"/>
      <c r="O1" s="175"/>
      <c r="P1" s="175"/>
      <c r="Q1" s="175"/>
      <c r="R1" s="175"/>
      <c r="S1" s="175"/>
      <c r="T1" s="175"/>
      <c r="U1" s="176"/>
      <c r="AD1" s="74"/>
      <c r="AE1" s="8"/>
    </row>
    <row r="2" spans="1:32" ht="45.75" thickBot="1" x14ac:dyDescent="0.3">
      <c r="A2" s="198" t="s">
        <v>77</v>
      </c>
      <c r="B2" s="198"/>
      <c r="C2" s="200" t="s">
        <v>216</v>
      </c>
      <c r="D2" s="206"/>
      <c r="E2" s="206"/>
      <c r="F2" s="200" t="s">
        <v>217</v>
      </c>
      <c r="G2" s="206"/>
      <c r="H2" s="206"/>
      <c r="I2" s="200" t="s">
        <v>218</v>
      </c>
      <c r="J2" s="206"/>
      <c r="K2" s="206"/>
      <c r="L2" s="200" t="s">
        <v>231</v>
      </c>
      <c r="M2" s="206"/>
      <c r="N2" s="206"/>
      <c r="O2" s="200" t="s">
        <v>232</v>
      </c>
      <c r="P2" s="206"/>
      <c r="Q2" s="206"/>
      <c r="R2" s="200" t="s">
        <v>233</v>
      </c>
      <c r="S2" s="206"/>
      <c r="T2" s="206"/>
      <c r="U2" s="209" t="s">
        <v>215</v>
      </c>
      <c r="Z2" s="90"/>
      <c r="AD2" s="74"/>
      <c r="AE2" s="8"/>
      <c r="AF2" s="26"/>
    </row>
    <row r="3" spans="1:32" x14ac:dyDescent="0.25">
      <c r="A3" s="179" t="s">
        <v>12</v>
      </c>
      <c r="B3" s="179"/>
      <c r="C3" s="180">
        <v>0</v>
      </c>
      <c r="D3" s="26"/>
      <c r="E3" s="26"/>
      <c r="F3" s="180">
        <v>0</v>
      </c>
      <c r="G3" s="26"/>
      <c r="H3" s="26"/>
      <c r="I3" s="180">
        <v>0</v>
      </c>
      <c r="J3" s="26"/>
      <c r="K3" s="26"/>
      <c r="L3" s="180">
        <v>0</v>
      </c>
      <c r="M3" s="26"/>
      <c r="N3" s="26"/>
      <c r="O3" s="180">
        <v>0</v>
      </c>
      <c r="P3" s="26"/>
      <c r="Q3" s="26"/>
      <c r="R3" s="180">
        <v>0</v>
      </c>
      <c r="S3" s="26"/>
      <c r="T3" s="26"/>
      <c r="U3" s="181">
        <f>C3+F3+I3+L3+O3+R3</f>
        <v>0</v>
      </c>
      <c r="V3" s="26"/>
      <c r="W3" s="26"/>
      <c r="X3" s="26"/>
      <c r="Y3" s="26"/>
      <c r="Z3" s="58"/>
      <c r="AA3" s="26"/>
      <c r="AC3" s="6"/>
      <c r="AF3" s="26"/>
    </row>
    <row r="4" spans="1:32" x14ac:dyDescent="0.25">
      <c r="A4" s="39" t="s">
        <v>49</v>
      </c>
      <c r="B4" s="39"/>
      <c r="C4" s="163">
        <v>0</v>
      </c>
      <c r="F4" s="163">
        <v>0</v>
      </c>
      <c r="I4" s="163">
        <v>0</v>
      </c>
      <c r="L4" s="163">
        <v>0</v>
      </c>
      <c r="O4" s="163">
        <v>0</v>
      </c>
      <c r="R4" s="163">
        <v>0</v>
      </c>
      <c r="U4" s="181">
        <f t="shared" ref="U4:U7" si="0">C4+F4+I4+L4+O4+R4</f>
        <v>0</v>
      </c>
      <c r="Y4" s="26"/>
      <c r="Z4" s="58"/>
      <c r="AE4" s="8"/>
    </row>
    <row r="5" spans="1:32" x14ac:dyDescent="0.25">
      <c r="A5" s="39" t="s">
        <v>181</v>
      </c>
      <c r="B5" s="39"/>
      <c r="C5" s="163">
        <v>0</v>
      </c>
      <c r="F5" s="163">
        <v>0</v>
      </c>
      <c r="I5" s="163">
        <v>0</v>
      </c>
      <c r="L5" s="163">
        <v>0</v>
      </c>
      <c r="O5" s="163">
        <v>0</v>
      </c>
      <c r="R5" s="163">
        <v>0</v>
      </c>
      <c r="U5" s="181">
        <f t="shared" si="0"/>
        <v>0</v>
      </c>
      <c r="Y5" s="26"/>
      <c r="Z5" s="58"/>
      <c r="AE5" s="8"/>
      <c r="AF5" s="26"/>
    </row>
    <row r="6" spans="1:32" x14ac:dyDescent="0.25">
      <c r="A6" s="39" t="s">
        <v>48</v>
      </c>
      <c r="B6" s="39"/>
      <c r="C6" s="163">
        <v>0</v>
      </c>
      <c r="F6" s="163">
        <v>0</v>
      </c>
      <c r="I6" s="163">
        <v>0</v>
      </c>
      <c r="L6" s="163">
        <v>0</v>
      </c>
      <c r="O6" s="163">
        <v>0</v>
      </c>
      <c r="R6" s="163">
        <v>0</v>
      </c>
      <c r="U6" s="181">
        <f t="shared" si="0"/>
        <v>0</v>
      </c>
      <c r="Y6" s="26"/>
      <c r="Z6" s="58"/>
      <c r="AE6" s="8"/>
    </row>
    <row r="7" spans="1:32" x14ac:dyDescent="0.25">
      <c r="A7" s="39" t="s">
        <v>50</v>
      </c>
      <c r="B7" s="39"/>
      <c r="C7" s="164">
        <v>0</v>
      </c>
      <c r="D7" s="92" t="s">
        <v>84</v>
      </c>
      <c r="E7" s="92" t="s">
        <v>85</v>
      </c>
      <c r="F7" s="164">
        <v>0</v>
      </c>
      <c r="G7" s="92" t="s">
        <v>84</v>
      </c>
      <c r="H7" s="92" t="s">
        <v>85</v>
      </c>
      <c r="I7" s="164">
        <v>0</v>
      </c>
      <c r="J7" s="92" t="s">
        <v>84</v>
      </c>
      <c r="K7" s="92" t="s">
        <v>85</v>
      </c>
      <c r="L7" s="164">
        <v>0</v>
      </c>
      <c r="M7" s="92" t="s">
        <v>84</v>
      </c>
      <c r="N7" s="92" t="s">
        <v>85</v>
      </c>
      <c r="O7" s="164">
        <v>0</v>
      </c>
      <c r="P7" s="92" t="s">
        <v>84</v>
      </c>
      <c r="Q7" s="92" t="s">
        <v>85</v>
      </c>
      <c r="R7" s="164">
        <v>0</v>
      </c>
      <c r="S7" s="92" t="s">
        <v>84</v>
      </c>
      <c r="T7" s="92" t="s">
        <v>85</v>
      </c>
      <c r="U7" s="181">
        <f t="shared" si="0"/>
        <v>0</v>
      </c>
      <c r="V7" s="208" t="s">
        <v>84</v>
      </c>
      <c r="W7" s="208" t="s">
        <v>85</v>
      </c>
      <c r="Z7" s="58"/>
    </row>
    <row r="8" spans="1:32" x14ac:dyDescent="0.25">
      <c r="A8" s="89" t="s">
        <v>53</v>
      </c>
      <c r="B8" s="160"/>
      <c r="C8" s="159">
        <f>SUM(C3:C7)</f>
        <v>0</v>
      </c>
      <c r="D8" s="157">
        <f>C4+C5+C6+C7</f>
        <v>0</v>
      </c>
      <c r="E8" s="157">
        <f>C8-D8</f>
        <v>0</v>
      </c>
      <c r="F8" s="159">
        <f>SUM(F3:F7)</f>
        <v>0</v>
      </c>
      <c r="G8" s="157">
        <f>F4+F5+F6+F7</f>
        <v>0</v>
      </c>
      <c r="H8" s="157">
        <f>F8-G8</f>
        <v>0</v>
      </c>
      <c r="I8" s="159">
        <f>SUM(I3:I7)</f>
        <v>0</v>
      </c>
      <c r="J8" s="157">
        <f>I4+I5+I6+I7</f>
        <v>0</v>
      </c>
      <c r="K8" s="157">
        <f>I8-J8</f>
        <v>0</v>
      </c>
      <c r="L8" s="159">
        <f>SUM(L3:L7)</f>
        <v>0</v>
      </c>
      <c r="M8" s="157">
        <f>L4+L5+L6+L7</f>
        <v>0</v>
      </c>
      <c r="N8" s="157">
        <f>L8-M8</f>
        <v>0</v>
      </c>
      <c r="O8" s="159">
        <f>SUM(O3:O7)</f>
        <v>0</v>
      </c>
      <c r="P8" s="157">
        <f>O4+O5+O6+O7</f>
        <v>0</v>
      </c>
      <c r="Q8" s="157">
        <f>O8-P8</f>
        <v>0</v>
      </c>
      <c r="R8" s="159">
        <f>SUM(R3:R7)</f>
        <v>0</v>
      </c>
      <c r="S8" s="157">
        <f>R4+R5+R6+R7</f>
        <v>0</v>
      </c>
      <c r="T8" s="157">
        <f>R8-S8</f>
        <v>0</v>
      </c>
      <c r="U8" s="159">
        <f>SUM(U3:U7)</f>
        <v>0</v>
      </c>
      <c r="V8" s="157">
        <f>U4+U5+U6+U7</f>
        <v>0</v>
      </c>
      <c r="W8" s="157">
        <f>U8-V8</f>
        <v>0</v>
      </c>
      <c r="Z8" s="91"/>
    </row>
    <row r="9" spans="1:32" x14ac:dyDescent="0.25">
      <c r="A9" s="89"/>
      <c r="B9" s="39"/>
      <c r="U9" s="26"/>
      <c r="Z9" s="91"/>
    </row>
    <row r="10" spans="1:32" ht="15.75" thickBot="1" x14ac:dyDescent="0.3">
      <c r="A10" s="201"/>
      <c r="B10" s="203"/>
      <c r="U10" s="26"/>
      <c r="Z10" s="91"/>
    </row>
    <row r="11" spans="1:32" ht="45.75" thickBot="1" x14ac:dyDescent="0.3">
      <c r="A11" s="198" t="s">
        <v>1</v>
      </c>
      <c r="B11" s="198"/>
      <c r="C11" s="200" t="s">
        <v>216</v>
      </c>
      <c r="D11" s="206"/>
      <c r="E11" s="206"/>
      <c r="F11" s="200" t="s">
        <v>217</v>
      </c>
      <c r="G11" s="206"/>
      <c r="H11" s="206"/>
      <c r="I11" s="200" t="s">
        <v>218</v>
      </c>
      <c r="J11" s="206"/>
      <c r="K11" s="206"/>
      <c r="L11" s="200" t="s">
        <v>231</v>
      </c>
      <c r="M11" s="206"/>
      <c r="N11" s="206"/>
      <c r="O11" s="200" t="s">
        <v>232</v>
      </c>
      <c r="P11" s="206"/>
      <c r="Q11" s="206"/>
      <c r="R11" s="200" t="s">
        <v>233</v>
      </c>
      <c r="S11" s="206"/>
      <c r="T11" s="206"/>
      <c r="U11" s="209" t="s">
        <v>215</v>
      </c>
      <c r="Z11" s="90"/>
      <c r="AE11" s="8"/>
      <c r="AF11" s="26"/>
    </row>
    <row r="12" spans="1:32" x14ac:dyDescent="0.25">
      <c r="A12" s="179" t="s">
        <v>12</v>
      </c>
      <c r="B12" s="179" t="s">
        <v>123</v>
      </c>
      <c r="C12" s="180">
        <v>0</v>
      </c>
      <c r="D12" s="26"/>
      <c r="E12" s="26"/>
      <c r="F12" s="180">
        <v>0</v>
      </c>
      <c r="G12" s="26"/>
      <c r="H12" s="26"/>
      <c r="I12" s="180">
        <v>0</v>
      </c>
      <c r="J12" s="26"/>
      <c r="K12" s="26"/>
      <c r="L12" s="180">
        <v>0</v>
      </c>
      <c r="M12" s="26"/>
      <c r="N12" s="26"/>
      <c r="O12" s="180">
        <v>0</v>
      </c>
      <c r="P12" s="26"/>
      <c r="Q12" s="26"/>
      <c r="R12" s="180">
        <v>0</v>
      </c>
      <c r="S12" s="26"/>
      <c r="T12" s="26"/>
      <c r="U12" s="181">
        <f t="shared" ref="U12:U16" si="1">C12+F12+I12+L12+O12+R12</f>
        <v>0</v>
      </c>
      <c r="V12" s="26"/>
      <c r="W12" s="26"/>
      <c r="X12" s="26"/>
      <c r="Y12" s="26"/>
      <c r="Z12" s="58"/>
      <c r="AA12" s="26"/>
      <c r="AC12" s="6"/>
      <c r="AD12" s="74"/>
      <c r="AF12" s="26"/>
    </row>
    <row r="13" spans="1:32" x14ac:dyDescent="0.25">
      <c r="A13" s="39" t="s">
        <v>49</v>
      </c>
      <c r="B13" s="39" t="s">
        <v>174</v>
      </c>
      <c r="C13" s="180">
        <v>0</v>
      </c>
      <c r="F13" s="180">
        <v>0</v>
      </c>
      <c r="I13" s="180">
        <v>0</v>
      </c>
      <c r="L13" s="180">
        <v>0</v>
      </c>
      <c r="O13" s="180">
        <v>0</v>
      </c>
      <c r="R13" s="180">
        <v>1</v>
      </c>
      <c r="U13" s="181">
        <f t="shared" si="1"/>
        <v>1</v>
      </c>
      <c r="Y13" s="26"/>
      <c r="Z13" s="58"/>
      <c r="AD13" s="74"/>
      <c r="AE13" s="8"/>
    </row>
    <row r="14" spans="1:32" x14ac:dyDescent="0.25">
      <c r="A14" s="39" t="s">
        <v>181</v>
      </c>
      <c r="B14" s="39" t="s">
        <v>174</v>
      </c>
      <c r="C14" s="180">
        <v>6</v>
      </c>
      <c r="F14" s="180">
        <v>6</v>
      </c>
      <c r="I14" s="180">
        <v>2</v>
      </c>
      <c r="L14" s="180">
        <v>0</v>
      </c>
      <c r="O14" s="180">
        <v>0</v>
      </c>
      <c r="R14" s="180">
        <v>7</v>
      </c>
      <c r="U14" s="181">
        <f t="shared" si="1"/>
        <v>21</v>
      </c>
      <c r="Y14" s="26"/>
      <c r="Z14" s="58"/>
      <c r="AD14" s="74"/>
      <c r="AE14" s="8"/>
      <c r="AF14" s="26"/>
    </row>
    <row r="15" spans="1:32" x14ac:dyDescent="0.25">
      <c r="A15" s="39" t="s">
        <v>48</v>
      </c>
      <c r="B15" s="39" t="s">
        <v>121</v>
      </c>
      <c r="C15" s="180">
        <v>0</v>
      </c>
      <c r="F15" s="180">
        <v>0</v>
      </c>
      <c r="I15" s="180">
        <v>0</v>
      </c>
      <c r="L15" s="180">
        <v>0</v>
      </c>
      <c r="O15" s="180">
        <v>0</v>
      </c>
      <c r="R15" s="180">
        <v>0</v>
      </c>
      <c r="U15" s="181">
        <f t="shared" si="1"/>
        <v>0</v>
      </c>
      <c r="Y15" s="26"/>
      <c r="Z15" s="58"/>
      <c r="AE15" s="8"/>
    </row>
    <row r="16" spans="1:32" x14ac:dyDescent="0.25">
      <c r="A16" s="39" t="s">
        <v>50</v>
      </c>
      <c r="B16" s="39" t="s">
        <v>121</v>
      </c>
      <c r="C16" s="180">
        <v>0</v>
      </c>
      <c r="D16" s="92" t="s">
        <v>84</v>
      </c>
      <c r="E16" s="92" t="s">
        <v>85</v>
      </c>
      <c r="F16" s="180">
        <v>0</v>
      </c>
      <c r="G16" s="92" t="s">
        <v>84</v>
      </c>
      <c r="H16" s="92" t="s">
        <v>85</v>
      </c>
      <c r="I16" s="180">
        <v>0</v>
      </c>
      <c r="J16" s="92" t="s">
        <v>84</v>
      </c>
      <c r="K16" s="92" t="s">
        <v>85</v>
      </c>
      <c r="L16" s="180">
        <v>0</v>
      </c>
      <c r="M16" s="92" t="s">
        <v>84</v>
      </c>
      <c r="N16" s="92" t="s">
        <v>85</v>
      </c>
      <c r="O16" s="180">
        <v>0</v>
      </c>
      <c r="P16" s="92" t="s">
        <v>84</v>
      </c>
      <c r="Q16" s="92" t="s">
        <v>85</v>
      </c>
      <c r="R16" s="180">
        <v>0</v>
      </c>
      <c r="S16" s="92" t="s">
        <v>84</v>
      </c>
      <c r="T16" s="92" t="s">
        <v>85</v>
      </c>
      <c r="U16" s="181">
        <f t="shared" si="1"/>
        <v>0</v>
      </c>
      <c r="V16" s="208" t="s">
        <v>84</v>
      </c>
      <c r="W16" s="208" t="s">
        <v>85</v>
      </c>
      <c r="Z16" s="58"/>
    </row>
    <row r="17" spans="1:32" x14ac:dyDescent="0.25">
      <c r="A17" s="89" t="s">
        <v>53</v>
      </c>
      <c r="B17" s="160"/>
      <c r="C17" s="159">
        <f>SUM(C12:C16)</f>
        <v>6</v>
      </c>
      <c r="D17" s="157">
        <f>C13+C14+C15+C16</f>
        <v>6</v>
      </c>
      <c r="E17" s="157">
        <f>C17-D17</f>
        <v>0</v>
      </c>
      <c r="F17" s="159">
        <f>SUM(F12:F16)</f>
        <v>6</v>
      </c>
      <c r="G17" s="157">
        <f>F13+F14+F15+F16</f>
        <v>6</v>
      </c>
      <c r="H17" s="157">
        <f>F17-G17</f>
        <v>0</v>
      </c>
      <c r="I17" s="159">
        <f>SUM(I12:I16)</f>
        <v>2</v>
      </c>
      <c r="J17" s="157">
        <f>I13+I14+I15+I16</f>
        <v>2</v>
      </c>
      <c r="K17" s="157">
        <f>I17-J17</f>
        <v>0</v>
      </c>
      <c r="L17" s="159">
        <f>SUM(L12:L16)</f>
        <v>0</v>
      </c>
      <c r="M17" s="157">
        <f>L13+L14+L15+L16</f>
        <v>0</v>
      </c>
      <c r="N17" s="157">
        <f>L17-M17</f>
        <v>0</v>
      </c>
      <c r="O17" s="159">
        <f>SUM(O12:O16)</f>
        <v>0</v>
      </c>
      <c r="P17" s="157">
        <f>O13+O14+O15+O16</f>
        <v>0</v>
      </c>
      <c r="Q17" s="157">
        <f>O17-P17</f>
        <v>0</v>
      </c>
      <c r="R17" s="159">
        <f>SUM(R12:R16)</f>
        <v>8</v>
      </c>
      <c r="S17" s="157">
        <f>R13+R14+R15+R16</f>
        <v>8</v>
      </c>
      <c r="T17" s="157">
        <f>R17-S17</f>
        <v>0</v>
      </c>
      <c r="U17" s="159">
        <f>SUM(U12:U16)</f>
        <v>22</v>
      </c>
      <c r="V17" s="157">
        <f>U13+U14+U15+U16</f>
        <v>22</v>
      </c>
      <c r="W17" s="157">
        <f>U17-V17</f>
        <v>0</v>
      </c>
      <c r="Z17" s="91"/>
    </row>
    <row r="18" spans="1:32" x14ac:dyDescent="0.25">
      <c r="A18" s="89"/>
      <c r="B18" s="39"/>
      <c r="U18" s="26"/>
      <c r="Z18" s="91"/>
    </row>
    <row r="19" spans="1:32" ht="15.75" thickBot="1" x14ac:dyDescent="0.3">
      <c r="A19" s="203"/>
      <c r="B19" s="203"/>
      <c r="C19"/>
      <c r="F19"/>
      <c r="I19"/>
      <c r="L19"/>
      <c r="O19"/>
      <c r="R19"/>
      <c r="Z19" s="91"/>
    </row>
    <row r="20" spans="1:32" ht="45.75" thickBot="1" x14ac:dyDescent="0.3">
      <c r="A20" s="205" t="s">
        <v>3</v>
      </c>
      <c r="B20" s="206"/>
      <c r="C20" s="200" t="s">
        <v>216</v>
      </c>
      <c r="D20" s="206"/>
      <c r="E20" s="206"/>
      <c r="F20" s="200" t="s">
        <v>217</v>
      </c>
      <c r="G20" s="206"/>
      <c r="H20" s="206"/>
      <c r="I20" s="200" t="s">
        <v>218</v>
      </c>
      <c r="J20" s="206"/>
      <c r="K20" s="206"/>
      <c r="L20" s="200" t="s">
        <v>231</v>
      </c>
      <c r="M20" s="206"/>
      <c r="N20" s="206"/>
      <c r="O20" s="200" t="s">
        <v>232</v>
      </c>
      <c r="P20" s="206"/>
      <c r="Q20" s="206"/>
      <c r="R20" s="200" t="s">
        <v>233</v>
      </c>
      <c r="S20" s="206"/>
      <c r="T20" s="206"/>
      <c r="U20" s="209" t="s">
        <v>215</v>
      </c>
      <c r="Z20" s="90"/>
    </row>
    <row r="21" spans="1:32" x14ac:dyDescent="0.25">
      <c r="A21" s="179" t="s">
        <v>9</v>
      </c>
      <c r="B21" s="179" t="s">
        <v>30</v>
      </c>
      <c r="C21" s="184">
        <v>0</v>
      </c>
      <c r="F21" s="184">
        <v>0</v>
      </c>
      <c r="I21" s="184">
        <v>0</v>
      </c>
      <c r="L21" s="184">
        <v>0</v>
      </c>
      <c r="O21" s="184">
        <v>0</v>
      </c>
      <c r="R21" s="184">
        <v>0</v>
      </c>
      <c r="U21" s="181">
        <f t="shared" ref="U21:U23" si="2">C21+F21+I21+L21+O21+R21</f>
        <v>0</v>
      </c>
      <c r="Z21" s="58"/>
      <c r="AE21" s="8"/>
    </row>
    <row r="22" spans="1:32" x14ac:dyDescent="0.25">
      <c r="A22" s="39" t="s">
        <v>14</v>
      </c>
      <c r="B22" s="39" t="s">
        <v>30</v>
      </c>
      <c r="C22" s="184">
        <v>0</v>
      </c>
      <c r="F22" s="184">
        <v>0</v>
      </c>
      <c r="I22" s="184">
        <v>0</v>
      </c>
      <c r="L22" s="184">
        <v>0</v>
      </c>
      <c r="O22" s="184">
        <v>0</v>
      </c>
      <c r="R22" s="184">
        <v>0</v>
      </c>
      <c r="U22" s="181">
        <f t="shared" si="2"/>
        <v>0</v>
      </c>
      <c r="Z22" s="58"/>
    </row>
    <row r="23" spans="1:32" x14ac:dyDescent="0.25">
      <c r="A23" s="39" t="s">
        <v>29</v>
      </c>
      <c r="B23" s="39" t="s">
        <v>30</v>
      </c>
      <c r="C23" s="184">
        <v>0</v>
      </c>
      <c r="D23" s="92" t="s">
        <v>84</v>
      </c>
      <c r="E23" s="92" t="s">
        <v>85</v>
      </c>
      <c r="F23" s="184">
        <v>0</v>
      </c>
      <c r="G23" s="92" t="s">
        <v>84</v>
      </c>
      <c r="H23" s="92" t="s">
        <v>85</v>
      </c>
      <c r="I23" s="184">
        <v>0</v>
      </c>
      <c r="J23" s="92" t="s">
        <v>84</v>
      </c>
      <c r="K23" s="92" t="s">
        <v>85</v>
      </c>
      <c r="L23" s="184">
        <v>0</v>
      </c>
      <c r="M23" s="92" t="s">
        <v>84</v>
      </c>
      <c r="N23" s="92" t="s">
        <v>85</v>
      </c>
      <c r="O23" s="184">
        <v>0</v>
      </c>
      <c r="P23" s="92" t="s">
        <v>84</v>
      </c>
      <c r="Q23" s="92" t="s">
        <v>85</v>
      </c>
      <c r="R23" s="184">
        <v>0</v>
      </c>
      <c r="S23" s="92" t="s">
        <v>84</v>
      </c>
      <c r="T23" s="92" t="s">
        <v>85</v>
      </c>
      <c r="U23" s="181">
        <f t="shared" si="2"/>
        <v>0</v>
      </c>
      <c r="V23" s="208" t="s">
        <v>84</v>
      </c>
      <c r="W23" s="208" t="s">
        <v>85</v>
      </c>
      <c r="Z23" s="58"/>
    </row>
    <row r="24" spans="1:32" x14ac:dyDescent="0.25">
      <c r="A24" s="89" t="s">
        <v>53</v>
      </c>
      <c r="B24" s="160"/>
      <c r="C24" s="159">
        <f>SUM(C21:C23)</f>
        <v>0</v>
      </c>
      <c r="D24" s="157">
        <f>C21+C22+C23</f>
        <v>0</v>
      </c>
      <c r="E24" s="157">
        <f>C24-D24</f>
        <v>0</v>
      </c>
      <c r="F24" s="159">
        <f>SUM(F21:F23)</f>
        <v>0</v>
      </c>
      <c r="G24" s="157">
        <f>F21+F22+F23</f>
        <v>0</v>
      </c>
      <c r="H24" s="157">
        <f>F24-G24</f>
        <v>0</v>
      </c>
      <c r="I24" s="159">
        <f>SUM(I21:I23)</f>
        <v>0</v>
      </c>
      <c r="J24" s="157">
        <f>I21+I22+I23</f>
        <v>0</v>
      </c>
      <c r="K24" s="157">
        <f>I24-J24</f>
        <v>0</v>
      </c>
      <c r="L24" s="159">
        <f>SUM(L21:L23)</f>
        <v>0</v>
      </c>
      <c r="M24" s="157">
        <f>L21+L22+L23</f>
        <v>0</v>
      </c>
      <c r="N24" s="157">
        <f>L24-M24</f>
        <v>0</v>
      </c>
      <c r="O24" s="159">
        <f>SUM(O21:O23)</f>
        <v>0</v>
      </c>
      <c r="P24" s="157">
        <f>O21+O22+O23</f>
        <v>0</v>
      </c>
      <c r="Q24" s="157">
        <f>O24-P24</f>
        <v>0</v>
      </c>
      <c r="R24" s="159">
        <f>SUM(R21:R23)</f>
        <v>0</v>
      </c>
      <c r="S24" s="157">
        <f>R21+R22+R23</f>
        <v>0</v>
      </c>
      <c r="T24" s="157">
        <f>R24-S24</f>
        <v>0</v>
      </c>
      <c r="U24" s="159">
        <f>SUM(U21:U23)</f>
        <v>0</v>
      </c>
      <c r="V24" s="157">
        <f>U21+U22+U23</f>
        <v>0</v>
      </c>
      <c r="W24" s="157">
        <f>U24-V24</f>
        <v>0</v>
      </c>
      <c r="Z24" s="91"/>
    </row>
    <row r="25" spans="1:32" x14ac:dyDescent="0.25">
      <c r="A25" s="39"/>
      <c r="B25" s="39"/>
      <c r="E25" s="26"/>
      <c r="H25" s="26"/>
      <c r="K25" s="26"/>
      <c r="N25" s="26"/>
      <c r="Q25" s="26"/>
      <c r="T25" s="26"/>
      <c r="U25" s="26"/>
      <c r="W25" s="26"/>
      <c r="Z25" s="91"/>
    </row>
    <row r="26" spans="1:32" ht="15.75" thickBot="1" x14ac:dyDescent="0.3">
      <c r="A26" s="203"/>
      <c r="B26" s="203"/>
      <c r="E26" s="26"/>
      <c r="H26" s="26"/>
      <c r="K26" s="26"/>
      <c r="N26" s="26"/>
      <c r="Q26" s="26"/>
      <c r="T26" s="26"/>
      <c r="U26" s="26"/>
      <c r="W26" s="26"/>
      <c r="Z26" s="26"/>
    </row>
    <row r="27" spans="1:32" ht="45.75" thickBot="1" x14ac:dyDescent="0.3">
      <c r="A27" s="205" t="s">
        <v>33</v>
      </c>
      <c r="B27" s="206"/>
      <c r="C27" s="200" t="s">
        <v>216</v>
      </c>
      <c r="D27" s="206"/>
      <c r="E27" s="206"/>
      <c r="F27" s="200" t="s">
        <v>217</v>
      </c>
      <c r="G27" s="206"/>
      <c r="H27" s="206"/>
      <c r="I27" s="200" t="s">
        <v>218</v>
      </c>
      <c r="J27" s="206"/>
      <c r="K27" s="206"/>
      <c r="L27" s="200" t="s">
        <v>231</v>
      </c>
      <c r="M27" s="206"/>
      <c r="N27" s="206"/>
      <c r="O27" s="200" t="s">
        <v>232</v>
      </c>
      <c r="P27" s="206"/>
      <c r="Q27" s="206"/>
      <c r="R27" s="200" t="s">
        <v>233</v>
      </c>
      <c r="S27" s="206"/>
      <c r="T27" s="206"/>
      <c r="U27" s="209" t="s">
        <v>215</v>
      </c>
      <c r="W27" s="26"/>
      <c r="Z27" s="90"/>
      <c r="AE27" s="8"/>
    </row>
    <row r="28" spans="1:32" x14ac:dyDescent="0.25">
      <c r="A28" s="39" t="s">
        <v>12</v>
      </c>
      <c r="B28" s="39" t="s">
        <v>179</v>
      </c>
      <c r="C28" s="180">
        <v>12</v>
      </c>
      <c r="D28" s="26"/>
      <c r="E28" s="26"/>
      <c r="F28" s="180">
        <v>0</v>
      </c>
      <c r="G28" s="26"/>
      <c r="H28" s="26"/>
      <c r="I28" s="180">
        <v>0</v>
      </c>
      <c r="J28" s="26"/>
      <c r="K28" s="26"/>
      <c r="L28" s="180">
        <v>0</v>
      </c>
      <c r="M28" s="26"/>
      <c r="N28" s="26"/>
      <c r="O28" s="180">
        <v>0</v>
      </c>
      <c r="P28" s="26"/>
      <c r="Q28" s="26"/>
      <c r="R28" s="180">
        <v>0</v>
      </c>
      <c r="S28" s="26"/>
      <c r="T28" s="26"/>
      <c r="U28" s="181">
        <f t="shared" ref="U28:U32" si="3">C28+F28+I28+L28+O28+R28</f>
        <v>12</v>
      </c>
      <c r="V28" s="26"/>
      <c r="W28" s="26"/>
      <c r="X28" s="26"/>
      <c r="Y28" s="74"/>
      <c r="Z28" s="58"/>
      <c r="AA28" s="26"/>
      <c r="AC28" s="6"/>
    </row>
    <row r="29" spans="1:32" x14ac:dyDescent="0.25">
      <c r="A29" s="39" t="s">
        <v>9</v>
      </c>
      <c r="B29" s="39" t="s">
        <v>179</v>
      </c>
      <c r="C29" s="180">
        <v>257</v>
      </c>
      <c r="D29" s="26"/>
      <c r="E29" s="26"/>
      <c r="F29" s="180">
        <v>2</v>
      </c>
      <c r="G29" s="26"/>
      <c r="H29" s="26"/>
      <c r="I29" s="180">
        <v>1</v>
      </c>
      <c r="J29" s="26"/>
      <c r="K29" s="26"/>
      <c r="L29" s="184">
        <v>0</v>
      </c>
      <c r="M29" s="26"/>
      <c r="N29" s="26"/>
      <c r="O29" s="184">
        <v>0</v>
      </c>
      <c r="P29" s="26"/>
      <c r="Q29" s="26"/>
      <c r="R29" s="184">
        <v>0</v>
      </c>
      <c r="S29" s="26"/>
      <c r="T29" s="26"/>
      <c r="U29" s="181">
        <f t="shared" si="3"/>
        <v>260</v>
      </c>
      <c r="V29" s="26"/>
      <c r="W29" s="26"/>
      <c r="X29" s="26"/>
      <c r="Z29" s="58"/>
      <c r="AA29" s="26"/>
      <c r="AC29" s="6"/>
      <c r="AE29" s="8"/>
    </row>
    <row r="30" spans="1:32" x14ac:dyDescent="0.25">
      <c r="A30" s="39" t="s">
        <v>181</v>
      </c>
      <c r="B30" s="39" t="s">
        <v>179</v>
      </c>
      <c r="C30" s="163">
        <v>0</v>
      </c>
      <c r="F30" s="180">
        <v>0</v>
      </c>
      <c r="I30" s="180">
        <v>0</v>
      </c>
      <c r="L30" s="184">
        <v>0</v>
      </c>
      <c r="O30" s="184">
        <v>0</v>
      </c>
      <c r="R30" s="184">
        <v>0</v>
      </c>
      <c r="U30" s="181">
        <f t="shared" si="3"/>
        <v>0</v>
      </c>
      <c r="Y30" s="26"/>
      <c r="Z30" s="58"/>
      <c r="AE30" s="8"/>
      <c r="AF30" s="26"/>
    </row>
    <row r="31" spans="1:32" x14ac:dyDescent="0.25">
      <c r="A31" s="39" t="s">
        <v>48</v>
      </c>
      <c r="B31" s="39" t="s">
        <v>179</v>
      </c>
      <c r="C31" s="163">
        <v>0</v>
      </c>
      <c r="F31" s="180">
        <v>0</v>
      </c>
      <c r="I31" s="180">
        <v>0</v>
      </c>
      <c r="L31" s="184">
        <v>0</v>
      </c>
      <c r="O31" s="184">
        <v>0</v>
      </c>
      <c r="R31" s="184">
        <v>0</v>
      </c>
      <c r="U31" s="181">
        <f t="shared" si="3"/>
        <v>0</v>
      </c>
      <c r="Y31" s="26"/>
      <c r="Z31" s="58"/>
      <c r="AE31" s="8"/>
    </row>
    <row r="32" spans="1:32" x14ac:dyDescent="0.25">
      <c r="A32" s="39" t="s">
        <v>50</v>
      </c>
      <c r="B32" s="39" t="s">
        <v>179</v>
      </c>
      <c r="C32" s="180">
        <v>0</v>
      </c>
      <c r="D32" s="92" t="s">
        <v>84</v>
      </c>
      <c r="E32" s="92" t="s">
        <v>85</v>
      </c>
      <c r="F32" s="180">
        <v>0</v>
      </c>
      <c r="G32" s="92" t="s">
        <v>84</v>
      </c>
      <c r="H32" s="92" t="s">
        <v>85</v>
      </c>
      <c r="I32" s="180">
        <v>0</v>
      </c>
      <c r="J32" s="92" t="s">
        <v>84</v>
      </c>
      <c r="K32" s="92" t="s">
        <v>85</v>
      </c>
      <c r="L32" s="184">
        <v>0</v>
      </c>
      <c r="M32" s="92" t="s">
        <v>84</v>
      </c>
      <c r="N32" s="92" t="s">
        <v>85</v>
      </c>
      <c r="O32" s="184">
        <v>0</v>
      </c>
      <c r="P32" s="92" t="s">
        <v>84</v>
      </c>
      <c r="Q32" s="92" t="s">
        <v>85</v>
      </c>
      <c r="R32" s="184">
        <v>0</v>
      </c>
      <c r="S32" s="92" t="s">
        <v>84</v>
      </c>
      <c r="T32" s="92" t="s">
        <v>85</v>
      </c>
      <c r="U32" s="181">
        <f t="shared" si="3"/>
        <v>0</v>
      </c>
      <c r="V32" s="208" t="s">
        <v>84</v>
      </c>
      <c r="W32" s="208" t="s">
        <v>85</v>
      </c>
      <c r="Z32" s="58"/>
    </row>
    <row r="33" spans="1:32" x14ac:dyDescent="0.25">
      <c r="A33" s="89" t="s">
        <v>53</v>
      </c>
      <c r="B33" s="160"/>
      <c r="C33" s="159">
        <f>SUM(C28:C32)</f>
        <v>269</v>
      </c>
      <c r="D33" s="157">
        <f>C29+C30+C31+C32</f>
        <v>257</v>
      </c>
      <c r="E33" s="157">
        <f>C33-D33</f>
        <v>12</v>
      </c>
      <c r="F33" s="159">
        <f>SUM(F28:F32)</f>
        <v>2</v>
      </c>
      <c r="G33" s="157">
        <f>F29+F30+F31+F32</f>
        <v>2</v>
      </c>
      <c r="H33" s="157">
        <f>F33-G33</f>
        <v>0</v>
      </c>
      <c r="I33" s="159">
        <f>SUM(I28:I32)</f>
        <v>1</v>
      </c>
      <c r="J33" s="157">
        <f>I29+I30+I31+I32</f>
        <v>1</v>
      </c>
      <c r="K33" s="157">
        <f>I33-J33</f>
        <v>0</v>
      </c>
      <c r="L33" s="159">
        <f>SUM(L28:L32)</f>
        <v>0</v>
      </c>
      <c r="M33" s="157">
        <f>L29+L30+L31+L32</f>
        <v>0</v>
      </c>
      <c r="N33" s="157">
        <f>L33-M33</f>
        <v>0</v>
      </c>
      <c r="O33" s="159">
        <f>SUM(O28:O32)</f>
        <v>0</v>
      </c>
      <c r="P33" s="157">
        <f>O29+O30+O31+O32</f>
        <v>0</v>
      </c>
      <c r="Q33" s="157">
        <f>O33-P33</f>
        <v>0</v>
      </c>
      <c r="R33" s="159">
        <f>SUM(R28:R32)</f>
        <v>0</v>
      </c>
      <c r="S33" s="157">
        <f>R29+R30+R31+R32</f>
        <v>0</v>
      </c>
      <c r="T33" s="157">
        <f>R33-S33</f>
        <v>0</v>
      </c>
      <c r="U33" s="159">
        <f>SUM(U28:U32)</f>
        <v>272</v>
      </c>
      <c r="V33" s="157">
        <f>U29+U30+U31+U32</f>
        <v>260</v>
      </c>
      <c r="W33" s="157">
        <f>U33-V33</f>
        <v>12</v>
      </c>
      <c r="Z33" s="91"/>
    </row>
    <row r="34" spans="1:32" x14ac:dyDescent="0.25">
      <c r="A34" s="39"/>
      <c r="B34" s="39"/>
      <c r="U34" s="26"/>
      <c r="Z34" s="91"/>
    </row>
    <row r="35" spans="1:32" ht="15.75" thickBot="1" x14ac:dyDescent="0.3">
      <c r="A35" s="203"/>
      <c r="B35" s="203"/>
      <c r="U35" s="26"/>
      <c r="Z35" s="26"/>
    </row>
    <row r="36" spans="1:32" ht="45.75" thickBot="1" x14ac:dyDescent="0.3">
      <c r="A36" s="205" t="s">
        <v>2</v>
      </c>
      <c r="B36" s="206"/>
      <c r="C36" s="200" t="s">
        <v>216</v>
      </c>
      <c r="D36" s="206"/>
      <c r="E36" s="206"/>
      <c r="F36" s="200" t="s">
        <v>217</v>
      </c>
      <c r="G36" s="206"/>
      <c r="H36" s="206"/>
      <c r="I36" s="200" t="s">
        <v>218</v>
      </c>
      <c r="J36" s="206"/>
      <c r="K36" s="206"/>
      <c r="L36" s="200" t="s">
        <v>231</v>
      </c>
      <c r="M36" s="206"/>
      <c r="N36" s="206"/>
      <c r="O36" s="200" t="s">
        <v>232</v>
      </c>
      <c r="P36" s="206"/>
      <c r="Q36" s="206"/>
      <c r="R36" s="200" t="s">
        <v>233</v>
      </c>
      <c r="S36" s="206"/>
      <c r="T36" s="206"/>
      <c r="U36" s="209" t="s">
        <v>215</v>
      </c>
      <c r="W36" s="26"/>
      <c r="Y36" s="26"/>
      <c r="Z36" s="26"/>
      <c r="AA36" s="74"/>
    </row>
    <row r="37" spans="1:32" x14ac:dyDescent="0.25">
      <c r="A37" s="179" t="s">
        <v>12</v>
      </c>
      <c r="B37" s="179" t="s">
        <v>180</v>
      </c>
      <c r="C37" s="184">
        <v>0</v>
      </c>
      <c r="D37" s="26"/>
      <c r="E37" s="26"/>
      <c r="F37" s="184">
        <v>0</v>
      </c>
      <c r="G37" s="26"/>
      <c r="H37" s="26"/>
      <c r="I37" s="184">
        <v>0</v>
      </c>
      <c r="J37" s="26"/>
      <c r="K37" s="26"/>
      <c r="L37" s="184">
        <v>0</v>
      </c>
      <c r="M37" s="26"/>
      <c r="N37" s="26"/>
      <c r="O37" s="184">
        <v>0</v>
      </c>
      <c r="P37" s="26"/>
      <c r="Q37" s="26"/>
      <c r="R37" s="184">
        <v>0</v>
      </c>
      <c r="S37" s="26"/>
      <c r="T37" s="26"/>
      <c r="U37" s="181">
        <f t="shared" ref="U37:U46" si="4">C37+F37+I37+L37+O37+R37</f>
        <v>0</v>
      </c>
      <c r="V37" s="26"/>
      <c r="W37" s="26"/>
      <c r="X37" s="26"/>
      <c r="Y37" s="26"/>
      <c r="Z37" s="58"/>
      <c r="AA37" s="74"/>
      <c r="AC37" s="6"/>
      <c r="AF37" s="26"/>
    </row>
    <row r="38" spans="1:32" x14ac:dyDescent="0.25">
      <c r="A38" s="179" t="s">
        <v>12</v>
      </c>
      <c r="B38" s="179" t="s">
        <v>197</v>
      </c>
      <c r="C38" s="184">
        <v>0</v>
      </c>
      <c r="D38" s="26"/>
      <c r="E38" s="26"/>
      <c r="F38" s="184">
        <v>0</v>
      </c>
      <c r="G38" s="26"/>
      <c r="H38" s="26"/>
      <c r="I38" s="184">
        <v>0</v>
      </c>
      <c r="J38" s="26"/>
      <c r="K38" s="26"/>
      <c r="L38" s="184">
        <v>0</v>
      </c>
      <c r="M38" s="26"/>
      <c r="N38" s="26"/>
      <c r="O38" s="184">
        <v>0</v>
      </c>
      <c r="P38" s="26"/>
      <c r="Q38" s="26"/>
      <c r="R38" s="184">
        <v>0</v>
      </c>
      <c r="S38" s="26"/>
      <c r="T38" s="26"/>
      <c r="U38" s="181">
        <f t="shared" si="4"/>
        <v>0</v>
      </c>
      <c r="V38" s="26"/>
      <c r="W38" s="26"/>
      <c r="X38" s="26"/>
      <c r="Y38" s="26"/>
      <c r="Z38" s="58"/>
      <c r="AA38" s="74"/>
      <c r="AC38" s="6"/>
      <c r="AF38" s="26"/>
    </row>
    <row r="39" spans="1:32" x14ac:dyDescent="0.25">
      <c r="A39" s="179" t="s">
        <v>12</v>
      </c>
      <c r="B39" s="179" t="s">
        <v>198</v>
      </c>
      <c r="C39" s="184">
        <v>0</v>
      </c>
      <c r="D39" s="26"/>
      <c r="E39" s="26"/>
      <c r="F39" s="184">
        <v>0</v>
      </c>
      <c r="G39" s="26"/>
      <c r="H39" s="26"/>
      <c r="I39" s="184">
        <v>0</v>
      </c>
      <c r="J39" s="26"/>
      <c r="K39" s="26"/>
      <c r="L39" s="184">
        <v>0</v>
      </c>
      <c r="M39" s="26"/>
      <c r="N39" s="26"/>
      <c r="O39" s="184">
        <v>0</v>
      </c>
      <c r="P39" s="26"/>
      <c r="Q39" s="26"/>
      <c r="R39" s="184">
        <v>0</v>
      </c>
      <c r="S39" s="26"/>
      <c r="T39" s="26"/>
      <c r="U39" s="181">
        <f t="shared" si="4"/>
        <v>0</v>
      </c>
      <c r="V39" s="26"/>
      <c r="W39" s="26"/>
      <c r="X39" s="26"/>
      <c r="Y39" s="26"/>
      <c r="Z39" s="58"/>
      <c r="AA39" s="74"/>
      <c r="AC39" s="6"/>
      <c r="AF39" s="26"/>
    </row>
    <row r="40" spans="1:32" x14ac:dyDescent="0.25">
      <c r="A40" s="179" t="s">
        <v>12</v>
      </c>
      <c r="B40" s="179" t="s">
        <v>206</v>
      </c>
      <c r="C40" s="184">
        <v>0</v>
      </c>
      <c r="D40" s="26"/>
      <c r="E40" s="26"/>
      <c r="F40" s="184">
        <v>0</v>
      </c>
      <c r="G40" s="26"/>
      <c r="H40" s="26"/>
      <c r="I40" s="184">
        <v>0</v>
      </c>
      <c r="J40" s="26"/>
      <c r="K40" s="26"/>
      <c r="L40" s="184">
        <v>0</v>
      </c>
      <c r="M40" s="26"/>
      <c r="N40" s="26"/>
      <c r="O40" s="184">
        <v>0</v>
      </c>
      <c r="P40" s="26"/>
      <c r="Q40" s="26"/>
      <c r="R40" s="184">
        <v>0</v>
      </c>
      <c r="S40" s="26"/>
      <c r="T40" s="26"/>
      <c r="U40" s="181">
        <f t="shared" si="4"/>
        <v>0</v>
      </c>
      <c r="V40" s="26"/>
      <c r="W40" s="26"/>
      <c r="X40" s="26"/>
      <c r="Y40" s="26"/>
      <c r="Z40" s="58"/>
      <c r="AA40" s="74"/>
      <c r="AC40" s="6"/>
      <c r="AF40" s="26"/>
    </row>
    <row r="41" spans="1:32" x14ac:dyDescent="0.25">
      <c r="A41" s="39" t="s">
        <v>49</v>
      </c>
      <c r="B41" s="39" t="s">
        <v>180</v>
      </c>
      <c r="C41" s="184">
        <v>0</v>
      </c>
      <c r="D41" s="26"/>
      <c r="F41" s="184">
        <v>0</v>
      </c>
      <c r="G41" s="26"/>
      <c r="I41" s="184">
        <v>0</v>
      </c>
      <c r="J41" s="26"/>
      <c r="L41" s="184">
        <v>0</v>
      </c>
      <c r="M41" s="26"/>
      <c r="O41" s="184">
        <v>0</v>
      </c>
      <c r="P41" s="26"/>
      <c r="R41" s="184">
        <v>0</v>
      </c>
      <c r="S41" s="26"/>
      <c r="U41" s="181">
        <f t="shared" si="4"/>
        <v>0</v>
      </c>
      <c r="V41" s="26"/>
      <c r="Y41" s="26"/>
      <c r="Z41" s="26"/>
      <c r="AA41" s="74"/>
    </row>
    <row r="42" spans="1:32" x14ac:dyDescent="0.25">
      <c r="A42" s="39" t="s">
        <v>49</v>
      </c>
      <c r="B42" s="39" t="s">
        <v>206</v>
      </c>
      <c r="C42" s="184">
        <v>0</v>
      </c>
      <c r="D42" s="26"/>
      <c r="F42" s="184">
        <v>0</v>
      </c>
      <c r="G42" s="26"/>
      <c r="I42" s="184">
        <v>0</v>
      </c>
      <c r="J42" s="26"/>
      <c r="L42" s="184">
        <v>0</v>
      </c>
      <c r="M42" s="26"/>
      <c r="O42" s="184">
        <v>0</v>
      </c>
      <c r="P42" s="26"/>
      <c r="R42" s="184">
        <v>0</v>
      </c>
      <c r="S42" s="26"/>
      <c r="U42" s="181">
        <f t="shared" si="4"/>
        <v>0</v>
      </c>
      <c r="V42" s="26"/>
      <c r="Y42" s="26"/>
      <c r="Z42" s="26"/>
      <c r="AA42" s="74"/>
    </row>
    <row r="43" spans="1:32" x14ac:dyDescent="0.25">
      <c r="A43" s="39" t="s">
        <v>49</v>
      </c>
      <c r="B43" s="39" t="s">
        <v>197</v>
      </c>
      <c r="C43" s="184">
        <v>0</v>
      </c>
      <c r="D43" s="26"/>
      <c r="F43" s="184">
        <v>0</v>
      </c>
      <c r="G43" s="26"/>
      <c r="I43" s="184">
        <v>0</v>
      </c>
      <c r="J43" s="26"/>
      <c r="L43" s="184">
        <v>0</v>
      </c>
      <c r="M43" s="26"/>
      <c r="O43" s="184">
        <v>0</v>
      </c>
      <c r="P43" s="26"/>
      <c r="R43" s="184">
        <v>0</v>
      </c>
      <c r="S43" s="26"/>
      <c r="U43" s="181">
        <f t="shared" si="4"/>
        <v>0</v>
      </c>
      <c r="V43" s="26"/>
      <c r="Y43" s="26"/>
      <c r="Z43" s="26"/>
      <c r="AA43" s="74"/>
    </row>
    <row r="44" spans="1:32" x14ac:dyDescent="0.25">
      <c r="A44" s="39" t="s">
        <v>49</v>
      </c>
      <c r="B44" s="39" t="s">
        <v>71</v>
      </c>
      <c r="C44" s="184">
        <v>70</v>
      </c>
      <c r="D44" s="26"/>
      <c r="F44" s="184">
        <v>52</v>
      </c>
      <c r="G44" s="26"/>
      <c r="I44" s="184">
        <v>0</v>
      </c>
      <c r="J44" s="26"/>
      <c r="L44" s="184">
        <v>0</v>
      </c>
      <c r="M44" s="26"/>
      <c r="O44" s="184">
        <v>0</v>
      </c>
      <c r="P44" s="26"/>
      <c r="R44" s="184">
        <v>0</v>
      </c>
      <c r="S44" s="26"/>
      <c r="U44" s="181">
        <f t="shared" si="4"/>
        <v>122</v>
      </c>
      <c r="V44" s="26"/>
      <c r="Y44" s="26"/>
      <c r="Z44" s="26"/>
      <c r="AA44" s="74"/>
    </row>
    <row r="45" spans="1:32" x14ac:dyDescent="0.25">
      <c r="A45" s="39" t="s">
        <v>181</v>
      </c>
      <c r="B45" s="39" t="s">
        <v>180</v>
      </c>
      <c r="C45" s="184">
        <v>0</v>
      </c>
      <c r="D45" s="26"/>
      <c r="F45" s="184">
        <v>3</v>
      </c>
      <c r="G45" s="26"/>
      <c r="I45" s="184">
        <v>0</v>
      </c>
      <c r="J45" s="26"/>
      <c r="L45" s="184">
        <v>0</v>
      </c>
      <c r="M45" s="26"/>
      <c r="O45" s="184">
        <v>0</v>
      </c>
      <c r="P45" s="26"/>
      <c r="R45" s="184">
        <v>0</v>
      </c>
      <c r="S45" s="26"/>
      <c r="U45" s="181">
        <f t="shared" si="4"/>
        <v>3</v>
      </c>
      <c r="V45" s="26"/>
      <c r="Y45" s="26"/>
      <c r="Z45" s="26"/>
      <c r="AA45" s="74"/>
    </row>
    <row r="46" spans="1:32" x14ac:dyDescent="0.25">
      <c r="A46" s="39" t="s">
        <v>181</v>
      </c>
      <c r="B46" s="39" t="s">
        <v>71</v>
      </c>
      <c r="C46" s="184">
        <v>7</v>
      </c>
      <c r="D46" s="92" t="s">
        <v>84</v>
      </c>
      <c r="E46" s="92" t="s">
        <v>85</v>
      </c>
      <c r="F46" s="184">
        <v>0</v>
      </c>
      <c r="G46" s="92" t="s">
        <v>84</v>
      </c>
      <c r="H46" s="92" t="s">
        <v>85</v>
      </c>
      <c r="I46" s="184">
        <v>0</v>
      </c>
      <c r="J46" s="92" t="s">
        <v>84</v>
      </c>
      <c r="K46" s="92" t="s">
        <v>85</v>
      </c>
      <c r="L46" s="184">
        <v>0</v>
      </c>
      <c r="M46" s="92" t="s">
        <v>84</v>
      </c>
      <c r="N46" s="92" t="s">
        <v>85</v>
      </c>
      <c r="O46" s="184">
        <v>0</v>
      </c>
      <c r="P46" s="92" t="s">
        <v>84</v>
      </c>
      <c r="Q46" s="92" t="s">
        <v>85</v>
      </c>
      <c r="R46" s="184">
        <v>0</v>
      </c>
      <c r="S46" s="92" t="s">
        <v>84</v>
      </c>
      <c r="T46" s="92" t="s">
        <v>85</v>
      </c>
      <c r="U46" s="181">
        <f t="shared" si="4"/>
        <v>7</v>
      </c>
      <c r="V46" s="208" t="s">
        <v>84</v>
      </c>
      <c r="W46" s="208" t="s">
        <v>85</v>
      </c>
      <c r="Y46" s="26"/>
      <c r="Z46" s="26"/>
      <c r="AC46" s="6"/>
      <c r="AE46" s="8"/>
    </row>
    <row r="47" spans="1:32" x14ac:dyDescent="0.25">
      <c r="A47" s="89" t="s">
        <v>53</v>
      </c>
      <c r="B47" s="160"/>
      <c r="C47" s="159">
        <f>SUM(C37:C46)</f>
        <v>77</v>
      </c>
      <c r="D47" s="157">
        <f>C41+C42+C43+C44+C45+C46</f>
        <v>77</v>
      </c>
      <c r="E47" s="157">
        <f>C47-D47</f>
        <v>0</v>
      </c>
      <c r="F47" s="159">
        <f>SUM(F37:F46)</f>
        <v>55</v>
      </c>
      <c r="G47" s="157">
        <f>F41+F42+F43+F44+F45+F46</f>
        <v>55</v>
      </c>
      <c r="H47" s="157">
        <f>F47-G47</f>
        <v>0</v>
      </c>
      <c r="I47" s="159">
        <f>SUM(I37:I46)</f>
        <v>0</v>
      </c>
      <c r="J47" s="157">
        <f>I41+I42+I43+I44+I45+I46</f>
        <v>0</v>
      </c>
      <c r="K47" s="157">
        <f>I47-J47</f>
        <v>0</v>
      </c>
      <c r="L47" s="159">
        <f>SUM(L37:L46)</f>
        <v>0</v>
      </c>
      <c r="M47" s="157">
        <f>L41+L42+L43+L44+L45+L46</f>
        <v>0</v>
      </c>
      <c r="N47" s="157">
        <f>L47-M47</f>
        <v>0</v>
      </c>
      <c r="O47" s="159">
        <f>SUM(O37:O46)</f>
        <v>0</v>
      </c>
      <c r="P47" s="157">
        <f>O41+O42+O43+O44+O45+O46</f>
        <v>0</v>
      </c>
      <c r="Q47" s="157">
        <f>O47-P47</f>
        <v>0</v>
      </c>
      <c r="R47" s="159">
        <f>SUM(R37:R46)</f>
        <v>0</v>
      </c>
      <c r="S47" s="157">
        <f>R41+R42+R43+R44+R45+R46</f>
        <v>0</v>
      </c>
      <c r="T47" s="157">
        <f>R47-S47</f>
        <v>0</v>
      </c>
      <c r="U47" s="159">
        <f>SUM(U37:U46)</f>
        <v>132</v>
      </c>
      <c r="V47" s="157">
        <f>U41+U42+U43+U44+U45+U46</f>
        <v>132</v>
      </c>
      <c r="W47" s="157">
        <f>U47-V47</f>
        <v>0</v>
      </c>
      <c r="Z47" s="26"/>
    </row>
    <row r="48" spans="1:32" x14ac:dyDescent="0.25">
      <c r="A48" s="39"/>
      <c r="B48" s="39"/>
      <c r="D48" s="183"/>
      <c r="E48" s="183"/>
      <c r="G48" s="183"/>
      <c r="H48" s="183"/>
      <c r="J48" s="183"/>
      <c r="K48" s="183"/>
      <c r="M48" s="183"/>
      <c r="N48" s="183"/>
      <c r="P48" s="183"/>
      <c r="Q48" s="183"/>
      <c r="S48" s="183"/>
      <c r="T48" s="183"/>
      <c r="U48" s="26"/>
      <c r="V48" s="183"/>
      <c r="W48" s="183"/>
      <c r="Y48" s="167"/>
      <c r="Z48" s="26"/>
    </row>
    <row r="49" spans="1:32" ht="15.75" thickBot="1" x14ac:dyDescent="0.3">
      <c r="A49" s="203"/>
      <c r="B49" s="203"/>
      <c r="D49" s="26"/>
      <c r="E49" s="26"/>
      <c r="G49" s="26"/>
      <c r="H49" s="26"/>
      <c r="J49" s="26"/>
      <c r="K49" s="26"/>
      <c r="M49" s="26"/>
      <c r="N49" s="26"/>
      <c r="P49" s="26"/>
      <c r="Q49" s="26"/>
      <c r="S49" s="26"/>
      <c r="T49" s="26"/>
      <c r="U49" s="26"/>
      <c r="V49" s="26"/>
      <c r="W49" s="26"/>
      <c r="Z49" s="59"/>
    </row>
    <row r="50" spans="1:32" ht="45.75" thickBot="1" x14ac:dyDescent="0.3">
      <c r="A50" s="205" t="s">
        <v>82</v>
      </c>
      <c r="B50" s="206"/>
      <c r="C50" s="200" t="s">
        <v>216</v>
      </c>
      <c r="D50" s="206"/>
      <c r="E50" s="206"/>
      <c r="F50" s="200" t="s">
        <v>217</v>
      </c>
      <c r="G50" s="206"/>
      <c r="H50" s="206"/>
      <c r="I50" s="200" t="s">
        <v>218</v>
      </c>
      <c r="J50" s="206"/>
      <c r="K50" s="206"/>
      <c r="L50" s="200" t="s">
        <v>231</v>
      </c>
      <c r="M50" s="206"/>
      <c r="N50" s="206"/>
      <c r="O50" s="200" t="s">
        <v>232</v>
      </c>
      <c r="P50" s="206"/>
      <c r="Q50" s="206"/>
      <c r="R50" s="200" t="s">
        <v>233</v>
      </c>
      <c r="S50" s="206"/>
      <c r="T50" s="206"/>
      <c r="U50" s="209" t="s">
        <v>215</v>
      </c>
      <c r="V50" s="26"/>
      <c r="W50" s="26"/>
      <c r="X50" s="26"/>
      <c r="Y50" s="74"/>
      <c r="Z50" s="59"/>
    </row>
    <row r="51" spans="1:32" x14ac:dyDescent="0.25">
      <c r="A51" s="39" t="s">
        <v>12</v>
      </c>
      <c r="B51" s="39" t="s">
        <v>32</v>
      </c>
      <c r="C51" s="184">
        <v>0</v>
      </c>
      <c r="D51" s="26"/>
      <c r="E51" s="26"/>
      <c r="F51" s="184">
        <v>0</v>
      </c>
      <c r="G51" s="26"/>
      <c r="H51" s="26"/>
      <c r="I51" s="184">
        <v>0</v>
      </c>
      <c r="J51" s="26"/>
      <c r="K51" s="26"/>
      <c r="L51" s="184">
        <v>0</v>
      </c>
      <c r="M51" s="26"/>
      <c r="N51" s="26"/>
      <c r="O51" s="184">
        <v>0</v>
      </c>
      <c r="P51" s="26"/>
      <c r="Q51" s="26"/>
      <c r="R51" s="184">
        <v>0</v>
      </c>
      <c r="S51" s="26"/>
      <c r="T51" s="26"/>
      <c r="U51" s="181">
        <f t="shared" ref="U51:U56" si="5">C51+F51+I51+L51+O51+R51</f>
        <v>0</v>
      </c>
      <c r="V51" s="26"/>
      <c r="W51" s="26"/>
      <c r="X51" s="26"/>
      <c r="Y51" s="74"/>
      <c r="Z51" s="59"/>
      <c r="AB51" s="26"/>
    </row>
    <row r="52" spans="1:32" x14ac:dyDescent="0.25">
      <c r="A52" s="39" t="s">
        <v>184</v>
      </c>
      <c r="B52" s="39" t="s">
        <v>173</v>
      </c>
      <c r="C52" s="184">
        <v>0</v>
      </c>
      <c r="D52" s="26"/>
      <c r="F52" s="184">
        <v>0</v>
      </c>
      <c r="G52" s="26"/>
      <c r="I52" s="184">
        <v>0</v>
      </c>
      <c r="J52" s="26"/>
      <c r="L52" s="184">
        <v>0</v>
      </c>
      <c r="M52" s="26"/>
      <c r="O52" s="184">
        <v>0</v>
      </c>
      <c r="P52" s="26"/>
      <c r="R52" s="184">
        <v>0</v>
      </c>
      <c r="S52" s="26"/>
      <c r="U52" s="181">
        <f t="shared" si="5"/>
        <v>0</v>
      </c>
      <c r="V52" s="26"/>
      <c r="X52" s="26"/>
      <c r="Y52" s="74"/>
      <c r="Z52" s="59"/>
      <c r="AC52" s="6"/>
      <c r="AE52" s="8"/>
    </row>
    <row r="53" spans="1:32" x14ac:dyDescent="0.25">
      <c r="A53" s="39" t="s">
        <v>49</v>
      </c>
      <c r="B53" s="39" t="s">
        <v>173</v>
      </c>
      <c r="C53" s="184">
        <v>0</v>
      </c>
      <c r="D53" s="26"/>
      <c r="F53" s="184">
        <v>0</v>
      </c>
      <c r="G53" s="26"/>
      <c r="I53" s="184">
        <v>0</v>
      </c>
      <c r="J53" s="26"/>
      <c r="L53" s="184">
        <v>0</v>
      </c>
      <c r="M53" s="26"/>
      <c r="O53" s="184">
        <v>0</v>
      </c>
      <c r="P53" s="26"/>
      <c r="R53" s="184">
        <v>0</v>
      </c>
      <c r="S53" s="26"/>
      <c r="U53" s="181">
        <f t="shared" si="5"/>
        <v>0</v>
      </c>
      <c r="V53" s="26"/>
      <c r="X53" s="26"/>
      <c r="Y53" s="74"/>
      <c r="Z53" s="59"/>
      <c r="AC53" s="6"/>
      <c r="AE53" s="8"/>
    </row>
    <row r="54" spans="1:32" x14ac:dyDescent="0.25">
      <c r="A54" s="39" t="s">
        <v>15</v>
      </c>
      <c r="B54" s="39" t="s">
        <v>186</v>
      </c>
      <c r="C54" s="184">
        <v>0</v>
      </c>
      <c r="D54" s="26"/>
      <c r="F54" s="184">
        <v>0</v>
      </c>
      <c r="G54" s="26"/>
      <c r="I54" s="184">
        <v>0</v>
      </c>
      <c r="J54" s="26"/>
      <c r="L54" s="184">
        <v>0</v>
      </c>
      <c r="M54" s="26"/>
      <c r="O54" s="184">
        <v>0</v>
      </c>
      <c r="P54" s="26"/>
      <c r="R54" s="184">
        <v>0</v>
      </c>
      <c r="S54" s="26"/>
      <c r="U54" s="181">
        <f t="shared" si="5"/>
        <v>0</v>
      </c>
      <c r="V54" s="26"/>
      <c r="X54" s="26"/>
      <c r="Y54" s="26"/>
      <c r="Z54" s="59"/>
    </row>
    <row r="55" spans="1:32" x14ac:dyDescent="0.25">
      <c r="A55" s="39" t="s">
        <v>48</v>
      </c>
      <c r="B55" s="39" t="s">
        <v>82</v>
      </c>
      <c r="C55" s="163">
        <v>0</v>
      </c>
      <c r="F55" s="163">
        <v>0</v>
      </c>
      <c r="I55" s="163">
        <v>0</v>
      </c>
      <c r="L55" s="163">
        <v>0</v>
      </c>
      <c r="O55" s="163">
        <v>0</v>
      </c>
      <c r="R55" s="163">
        <v>0</v>
      </c>
      <c r="U55" s="181">
        <f t="shared" si="5"/>
        <v>0</v>
      </c>
      <c r="Y55" s="26"/>
      <c r="Z55" s="58"/>
      <c r="AE55" s="8"/>
    </row>
    <row r="56" spans="1:32" x14ac:dyDescent="0.25">
      <c r="A56" s="39" t="s">
        <v>50</v>
      </c>
      <c r="B56" s="39" t="s">
        <v>82</v>
      </c>
      <c r="C56" s="184">
        <v>0</v>
      </c>
      <c r="D56" s="92" t="s">
        <v>84</v>
      </c>
      <c r="E56" s="92" t="s">
        <v>85</v>
      </c>
      <c r="F56" s="184">
        <v>0</v>
      </c>
      <c r="G56" s="92" t="s">
        <v>84</v>
      </c>
      <c r="H56" s="92" t="s">
        <v>85</v>
      </c>
      <c r="I56" s="184">
        <v>0</v>
      </c>
      <c r="J56" s="92" t="s">
        <v>84</v>
      </c>
      <c r="K56" s="92" t="s">
        <v>85</v>
      </c>
      <c r="L56" s="184">
        <v>0</v>
      </c>
      <c r="M56" s="92" t="s">
        <v>84</v>
      </c>
      <c r="N56" s="92" t="s">
        <v>85</v>
      </c>
      <c r="O56" s="184">
        <v>0</v>
      </c>
      <c r="P56" s="92" t="s">
        <v>84</v>
      </c>
      <c r="Q56" s="92" t="s">
        <v>85</v>
      </c>
      <c r="R56" s="184">
        <v>0</v>
      </c>
      <c r="S56" s="92" t="s">
        <v>84</v>
      </c>
      <c r="T56" s="92" t="s">
        <v>85</v>
      </c>
      <c r="U56" s="181">
        <f t="shared" si="5"/>
        <v>0</v>
      </c>
      <c r="V56" s="208" t="s">
        <v>84</v>
      </c>
      <c r="W56" s="208" t="s">
        <v>85</v>
      </c>
      <c r="X56" s="26"/>
      <c r="Y56" s="26"/>
      <c r="Z56" s="59"/>
    </row>
    <row r="57" spans="1:32" x14ac:dyDescent="0.25">
      <c r="A57" s="89" t="s">
        <v>53</v>
      </c>
      <c r="B57" s="160"/>
      <c r="C57" s="159">
        <f>SUM(C51:C56)</f>
        <v>0</v>
      </c>
      <c r="D57" s="157">
        <f>C52+C53+C54+C55+C56</f>
        <v>0</v>
      </c>
      <c r="E57" s="157">
        <f>C57-D57</f>
        <v>0</v>
      </c>
      <c r="F57" s="159">
        <f>SUM(F51:F56)</f>
        <v>0</v>
      </c>
      <c r="G57" s="157">
        <f>F52+F53+F54+F55+F56</f>
        <v>0</v>
      </c>
      <c r="H57" s="157">
        <f>F57-G57</f>
        <v>0</v>
      </c>
      <c r="I57" s="159">
        <f>SUM(I51:I56)</f>
        <v>0</v>
      </c>
      <c r="J57" s="157">
        <f>I52+I53+I54+I55+I56</f>
        <v>0</v>
      </c>
      <c r="K57" s="157">
        <f>I57-J57</f>
        <v>0</v>
      </c>
      <c r="L57" s="159">
        <f>SUM(L51:L56)</f>
        <v>0</v>
      </c>
      <c r="M57" s="157">
        <f>L52+L53+L54+L55+L56</f>
        <v>0</v>
      </c>
      <c r="N57" s="157">
        <f>L57-M57</f>
        <v>0</v>
      </c>
      <c r="O57" s="159">
        <f>SUM(O51:O56)</f>
        <v>0</v>
      </c>
      <c r="P57" s="157">
        <f>O52+O53+O54+O55+O56</f>
        <v>0</v>
      </c>
      <c r="Q57" s="157">
        <f>O57-P57</f>
        <v>0</v>
      </c>
      <c r="R57" s="159">
        <f>SUM(R51:R56)</f>
        <v>0</v>
      </c>
      <c r="S57" s="157">
        <f>R52+R53+R54+R55+R56</f>
        <v>0</v>
      </c>
      <c r="T57" s="157">
        <f>R57-S57</f>
        <v>0</v>
      </c>
      <c r="U57" s="159">
        <f>SUM(U51:U56)</f>
        <v>0</v>
      </c>
      <c r="V57" s="157">
        <f>U52+U53+U54+U55+U56</f>
        <v>0</v>
      </c>
      <c r="W57" s="157">
        <f>U57-V57</f>
        <v>0</v>
      </c>
      <c r="X57" s="26"/>
      <c r="Y57" s="26"/>
      <c r="Z57" s="59"/>
      <c r="AC57" s="6"/>
      <c r="AE57" s="8"/>
    </row>
    <row r="58" spans="1:32" x14ac:dyDescent="0.25">
      <c r="A58" s="39"/>
      <c r="B58" s="39"/>
      <c r="D58" s="26"/>
      <c r="G58" s="26"/>
      <c r="J58" s="26"/>
      <c r="M58" s="26"/>
      <c r="P58" s="26"/>
      <c r="S58" s="26"/>
      <c r="U58" s="26"/>
      <c r="V58" s="26"/>
      <c r="X58" s="26"/>
      <c r="Y58" s="26"/>
      <c r="Z58" s="59"/>
      <c r="AC58" s="6"/>
      <c r="AE58" s="8"/>
    </row>
    <row r="59" spans="1:32" ht="15.75" thickBot="1" x14ac:dyDescent="0.3">
      <c r="A59" s="203"/>
      <c r="B59" s="203"/>
      <c r="D59" s="26"/>
      <c r="G59" s="26"/>
      <c r="J59" s="26"/>
      <c r="M59" s="26"/>
      <c r="P59" s="26"/>
      <c r="S59" s="26"/>
      <c r="U59" s="26"/>
      <c r="V59" s="26"/>
      <c r="X59" s="26"/>
      <c r="Y59" s="26"/>
      <c r="Z59" s="87"/>
      <c r="AC59" s="6"/>
      <c r="AE59" s="8"/>
    </row>
    <row r="60" spans="1:32" ht="45.75" thickBot="1" x14ac:dyDescent="0.3">
      <c r="A60" s="205" t="s">
        <v>4</v>
      </c>
      <c r="B60" s="206"/>
      <c r="C60" s="200" t="s">
        <v>216</v>
      </c>
      <c r="D60" s="206"/>
      <c r="E60" s="206"/>
      <c r="F60" s="200" t="s">
        <v>217</v>
      </c>
      <c r="G60" s="206"/>
      <c r="H60" s="206"/>
      <c r="I60" s="200" t="s">
        <v>218</v>
      </c>
      <c r="J60" s="206"/>
      <c r="K60" s="206"/>
      <c r="L60" s="200" t="s">
        <v>231</v>
      </c>
      <c r="M60" s="206"/>
      <c r="N60" s="206"/>
      <c r="O60" s="200" t="s">
        <v>232</v>
      </c>
      <c r="P60" s="206"/>
      <c r="Q60" s="206"/>
      <c r="R60" s="200" t="s">
        <v>233</v>
      </c>
      <c r="S60" s="206"/>
      <c r="T60" s="206"/>
      <c r="U60" s="209" t="s">
        <v>215</v>
      </c>
      <c r="V60" s="26"/>
      <c r="X60" s="74"/>
      <c r="Y60" s="26"/>
      <c r="Z60" s="87"/>
      <c r="AC60" s="6"/>
      <c r="AE60" s="8"/>
    </row>
    <row r="61" spans="1:32" x14ac:dyDescent="0.25">
      <c r="A61" s="179" t="s">
        <v>48</v>
      </c>
      <c r="B61" s="179" t="s">
        <v>37</v>
      </c>
      <c r="C61" s="184">
        <v>0</v>
      </c>
      <c r="D61" s="26"/>
      <c r="F61" s="184">
        <v>0</v>
      </c>
      <c r="G61" s="26"/>
      <c r="I61" s="184">
        <v>0</v>
      </c>
      <c r="J61" s="26"/>
      <c r="L61" s="184">
        <v>0</v>
      </c>
      <c r="M61" s="26"/>
      <c r="O61" s="184">
        <v>0</v>
      </c>
      <c r="P61" s="26"/>
      <c r="R61" s="184">
        <v>0</v>
      </c>
      <c r="S61" s="26"/>
      <c r="U61" s="181">
        <f t="shared" ref="U61:U74" si="6">C61+F61+I61+L61+O61+R61</f>
        <v>0</v>
      </c>
      <c r="V61" s="26"/>
      <c r="X61" s="74"/>
      <c r="Y61" s="26"/>
      <c r="Z61" s="87"/>
      <c r="AB61" s="26"/>
      <c r="AC61" s="6"/>
      <c r="AE61" s="8"/>
    </row>
    <row r="62" spans="1:32" x14ac:dyDescent="0.25">
      <c r="A62" s="39" t="s">
        <v>50</v>
      </c>
      <c r="B62" s="39" t="s">
        <v>61</v>
      </c>
      <c r="C62" s="184">
        <v>0</v>
      </c>
      <c r="D62" s="26"/>
      <c r="F62" s="184">
        <v>0</v>
      </c>
      <c r="G62" s="26"/>
      <c r="I62" s="184">
        <v>41</v>
      </c>
      <c r="J62" s="26"/>
      <c r="L62" s="184">
        <v>0</v>
      </c>
      <c r="M62" s="26"/>
      <c r="O62" s="184">
        <v>0</v>
      </c>
      <c r="P62" s="26"/>
      <c r="R62" s="184">
        <v>0</v>
      </c>
      <c r="S62" s="26"/>
      <c r="U62" s="181">
        <f t="shared" si="6"/>
        <v>41</v>
      </c>
      <c r="V62" s="26"/>
      <c r="X62" s="74"/>
      <c r="Y62" s="26"/>
      <c r="Z62" s="87"/>
      <c r="AB62" s="26"/>
      <c r="AE62" s="8"/>
      <c r="AF62" s="6"/>
    </row>
    <row r="63" spans="1:32" x14ac:dyDescent="0.25">
      <c r="A63" s="39" t="s">
        <v>15</v>
      </c>
      <c r="B63" s="39" t="s">
        <v>182</v>
      </c>
      <c r="C63" s="184">
        <v>0</v>
      </c>
      <c r="D63" s="26"/>
      <c r="F63" s="184">
        <v>0</v>
      </c>
      <c r="G63" s="26"/>
      <c r="I63" s="184">
        <v>0</v>
      </c>
      <c r="J63" s="26"/>
      <c r="L63" s="184">
        <v>0</v>
      </c>
      <c r="M63" s="26"/>
      <c r="O63" s="184">
        <v>0</v>
      </c>
      <c r="P63" s="26"/>
      <c r="R63" s="184">
        <v>0</v>
      </c>
      <c r="S63" s="26"/>
      <c r="U63" s="181">
        <f t="shared" si="6"/>
        <v>0</v>
      </c>
      <c r="V63" s="26"/>
      <c r="X63" s="167"/>
      <c r="Y63" s="26"/>
      <c r="Z63" s="168"/>
      <c r="AB63" s="26"/>
      <c r="AC63" s="44"/>
    </row>
    <row r="64" spans="1:32" x14ac:dyDescent="0.25">
      <c r="A64" s="39" t="s">
        <v>48</v>
      </c>
      <c r="B64" s="39" t="s">
        <v>182</v>
      </c>
      <c r="C64" s="184">
        <v>0</v>
      </c>
      <c r="D64" s="26"/>
      <c r="F64" s="184">
        <v>0</v>
      </c>
      <c r="G64" s="26"/>
      <c r="I64" s="184">
        <v>0</v>
      </c>
      <c r="J64" s="26"/>
      <c r="L64" s="184">
        <v>0</v>
      </c>
      <c r="M64" s="26"/>
      <c r="O64" s="184">
        <v>0</v>
      </c>
      <c r="P64" s="26"/>
      <c r="R64" s="184">
        <v>0</v>
      </c>
      <c r="S64" s="26"/>
      <c r="U64" s="181">
        <f t="shared" si="6"/>
        <v>0</v>
      </c>
      <c r="V64" s="26"/>
      <c r="X64" s="167"/>
      <c r="Y64" s="26"/>
      <c r="Z64" s="87"/>
    </row>
    <row r="65" spans="1:32" x14ac:dyDescent="0.25">
      <c r="A65" s="39" t="s">
        <v>50</v>
      </c>
      <c r="B65" s="39" t="s">
        <v>201</v>
      </c>
      <c r="C65" s="184">
        <v>0</v>
      </c>
      <c r="D65" s="26"/>
      <c r="F65" s="184">
        <v>95</v>
      </c>
      <c r="G65" s="26"/>
      <c r="I65" s="184">
        <v>0</v>
      </c>
      <c r="J65" s="26"/>
      <c r="L65" s="184">
        <v>0</v>
      </c>
      <c r="M65" s="26"/>
      <c r="O65" s="184">
        <v>0</v>
      </c>
      <c r="P65" s="26"/>
      <c r="R65" s="184">
        <v>0</v>
      </c>
      <c r="S65" s="26"/>
      <c r="U65" s="181">
        <f t="shared" si="6"/>
        <v>95</v>
      </c>
      <c r="V65" s="26"/>
      <c r="X65" s="74"/>
      <c r="Y65" s="26"/>
      <c r="Z65" s="87"/>
    </row>
    <row r="66" spans="1:32" x14ac:dyDescent="0.25">
      <c r="A66" s="39" t="s">
        <v>49</v>
      </c>
      <c r="B66" s="39" t="s">
        <v>183</v>
      </c>
      <c r="C66" s="184">
        <v>0</v>
      </c>
      <c r="D66" s="26"/>
      <c r="F66" s="184">
        <v>6</v>
      </c>
      <c r="G66" s="26"/>
      <c r="I66" s="184">
        <v>0</v>
      </c>
      <c r="J66" s="26"/>
      <c r="L66" s="184">
        <v>0</v>
      </c>
      <c r="M66" s="26"/>
      <c r="O66" s="184">
        <v>0</v>
      </c>
      <c r="P66" s="26"/>
      <c r="R66" s="184">
        <v>0</v>
      </c>
      <c r="S66" s="26"/>
      <c r="U66" s="181">
        <f t="shared" si="6"/>
        <v>6</v>
      </c>
      <c r="V66" s="26"/>
      <c r="X66" s="74"/>
      <c r="Y66" s="26"/>
      <c r="Z66" s="87"/>
    </row>
    <row r="67" spans="1:32" x14ac:dyDescent="0.25">
      <c r="A67" s="39" t="s">
        <v>49</v>
      </c>
      <c r="B67" s="39" t="s">
        <v>199</v>
      </c>
      <c r="C67" s="184">
        <v>0</v>
      </c>
      <c r="D67" s="26"/>
      <c r="F67" s="184">
        <v>0</v>
      </c>
      <c r="G67" s="26"/>
      <c r="I67" s="184">
        <v>0</v>
      </c>
      <c r="J67" s="26"/>
      <c r="L67" s="184">
        <v>0</v>
      </c>
      <c r="M67" s="26"/>
      <c r="O67" s="184">
        <v>0</v>
      </c>
      <c r="P67" s="26"/>
      <c r="R67" s="184">
        <v>0</v>
      </c>
      <c r="S67" s="26"/>
      <c r="U67" s="181">
        <f t="shared" si="6"/>
        <v>0</v>
      </c>
      <c r="V67" s="26"/>
      <c r="X67" s="167"/>
      <c r="Z67" s="87"/>
    </row>
    <row r="68" spans="1:32" x14ac:dyDescent="0.25">
      <c r="A68" s="39" t="s">
        <v>49</v>
      </c>
      <c r="B68" s="39" t="s">
        <v>200</v>
      </c>
      <c r="C68" s="184">
        <v>0</v>
      </c>
      <c r="D68" s="26"/>
      <c r="F68" s="184">
        <v>0</v>
      </c>
      <c r="G68" s="26"/>
      <c r="I68" s="184">
        <v>0</v>
      </c>
      <c r="J68" s="26"/>
      <c r="L68" s="184">
        <v>0</v>
      </c>
      <c r="M68" s="26"/>
      <c r="O68" s="184">
        <v>0</v>
      </c>
      <c r="P68" s="26"/>
      <c r="R68" s="184">
        <v>0</v>
      </c>
      <c r="S68" s="26"/>
      <c r="U68" s="181">
        <f t="shared" si="6"/>
        <v>0</v>
      </c>
      <c r="V68" s="26"/>
      <c r="X68" s="167"/>
      <c r="Z68" s="87"/>
    </row>
    <row r="69" spans="1:32" x14ac:dyDescent="0.25">
      <c r="A69" s="39" t="s">
        <v>49</v>
      </c>
      <c r="B69" s="39" t="s">
        <v>37</v>
      </c>
      <c r="C69" s="184">
        <v>0</v>
      </c>
      <c r="D69" s="26"/>
      <c r="F69" s="184">
        <v>3</v>
      </c>
      <c r="G69" s="26"/>
      <c r="I69" s="184">
        <v>0</v>
      </c>
      <c r="J69" s="26"/>
      <c r="L69" s="184">
        <v>0</v>
      </c>
      <c r="M69" s="26"/>
      <c r="O69" s="184">
        <v>0</v>
      </c>
      <c r="P69" s="26"/>
      <c r="R69" s="184">
        <v>0</v>
      </c>
      <c r="S69" s="26"/>
      <c r="U69" s="181">
        <f t="shared" si="6"/>
        <v>3</v>
      </c>
      <c r="V69" s="26"/>
      <c r="X69" s="167"/>
      <c r="Z69" s="87"/>
    </row>
    <row r="70" spans="1:32" x14ac:dyDescent="0.25">
      <c r="A70" s="39" t="s">
        <v>184</v>
      </c>
      <c r="B70" s="39" t="s">
        <v>183</v>
      </c>
      <c r="C70" s="184">
        <v>0</v>
      </c>
      <c r="D70" s="26"/>
      <c r="F70" s="184">
        <v>0</v>
      </c>
      <c r="G70" s="26"/>
      <c r="I70" s="184">
        <v>1</v>
      </c>
      <c r="J70" s="26"/>
      <c r="L70" s="184">
        <v>0</v>
      </c>
      <c r="M70" s="26"/>
      <c r="O70" s="184">
        <v>0</v>
      </c>
      <c r="P70" s="26"/>
      <c r="R70" s="184">
        <v>0</v>
      </c>
      <c r="S70" s="26"/>
      <c r="U70" s="181">
        <f t="shared" si="6"/>
        <v>1</v>
      </c>
      <c r="V70" s="26"/>
      <c r="X70" s="74"/>
      <c r="Y70" s="26"/>
      <c r="Z70" s="87"/>
    </row>
    <row r="71" spans="1:32" x14ac:dyDescent="0.25">
      <c r="A71" s="39" t="s">
        <v>184</v>
      </c>
      <c r="B71" s="39" t="s">
        <v>199</v>
      </c>
      <c r="C71" s="184">
        <v>0</v>
      </c>
      <c r="D71" s="26"/>
      <c r="F71" s="184">
        <v>0</v>
      </c>
      <c r="G71" s="26"/>
      <c r="I71" s="184">
        <v>0</v>
      </c>
      <c r="J71" s="26"/>
      <c r="L71" s="184">
        <v>0</v>
      </c>
      <c r="M71" s="26"/>
      <c r="O71" s="184">
        <v>0</v>
      </c>
      <c r="P71" s="26"/>
      <c r="R71" s="184">
        <v>0</v>
      </c>
      <c r="S71" s="26"/>
      <c r="U71" s="181">
        <f t="shared" si="6"/>
        <v>0</v>
      </c>
      <c r="V71" s="26"/>
      <c r="X71" s="74"/>
      <c r="Y71" s="26"/>
      <c r="Z71" s="87"/>
    </row>
    <row r="72" spans="1:32" x14ac:dyDescent="0.25">
      <c r="A72" s="39" t="s">
        <v>184</v>
      </c>
      <c r="B72" s="39" t="s">
        <v>37</v>
      </c>
      <c r="C72" s="184">
        <v>0</v>
      </c>
      <c r="D72" s="26"/>
      <c r="F72" s="184">
        <v>0</v>
      </c>
      <c r="G72" s="26"/>
      <c r="I72" s="184">
        <v>3</v>
      </c>
      <c r="J72" s="26"/>
      <c r="L72" s="184">
        <v>0</v>
      </c>
      <c r="M72" s="26"/>
      <c r="O72" s="184">
        <v>0</v>
      </c>
      <c r="P72" s="26"/>
      <c r="R72" s="184">
        <v>0</v>
      </c>
      <c r="S72" s="26"/>
      <c r="U72" s="181">
        <f t="shared" si="6"/>
        <v>3</v>
      </c>
      <c r="V72" s="26"/>
      <c r="X72" s="74"/>
      <c r="Y72" s="26"/>
      <c r="Z72" s="87"/>
    </row>
    <row r="73" spans="1:32" x14ac:dyDescent="0.25">
      <c r="A73" s="39" t="s">
        <v>184</v>
      </c>
      <c r="B73" s="39" t="s">
        <v>185</v>
      </c>
      <c r="C73" s="184">
        <v>0</v>
      </c>
      <c r="D73" s="26"/>
      <c r="F73" s="184">
        <v>0</v>
      </c>
      <c r="G73" s="26"/>
      <c r="I73" s="184">
        <v>0</v>
      </c>
      <c r="J73" s="26"/>
      <c r="L73" s="184">
        <v>0</v>
      </c>
      <c r="M73" s="26"/>
      <c r="O73" s="184">
        <v>0</v>
      </c>
      <c r="P73" s="26"/>
      <c r="R73" s="184">
        <v>0</v>
      </c>
      <c r="S73" s="26"/>
      <c r="U73" s="181">
        <f t="shared" si="6"/>
        <v>0</v>
      </c>
      <c r="V73" s="26"/>
      <c r="X73" s="74"/>
      <c r="Y73" s="26"/>
      <c r="Z73" s="87"/>
    </row>
    <row r="74" spans="1:32" x14ac:dyDescent="0.25">
      <c r="A74" s="39" t="s">
        <v>184</v>
      </c>
      <c r="B74" s="39" t="s">
        <v>56</v>
      </c>
      <c r="C74" s="184">
        <v>0</v>
      </c>
      <c r="D74" s="92" t="s">
        <v>84</v>
      </c>
      <c r="E74" s="92" t="s">
        <v>85</v>
      </c>
      <c r="F74" s="184">
        <v>0</v>
      </c>
      <c r="G74" s="92" t="s">
        <v>84</v>
      </c>
      <c r="H74" s="92" t="s">
        <v>85</v>
      </c>
      <c r="I74" s="184">
        <v>0</v>
      </c>
      <c r="J74" s="92" t="s">
        <v>84</v>
      </c>
      <c r="K74" s="92" t="s">
        <v>85</v>
      </c>
      <c r="L74" s="184">
        <v>0</v>
      </c>
      <c r="M74" s="92" t="s">
        <v>84</v>
      </c>
      <c r="N74" s="92" t="s">
        <v>85</v>
      </c>
      <c r="O74" s="184">
        <v>0</v>
      </c>
      <c r="P74" s="92" t="s">
        <v>84</v>
      </c>
      <c r="Q74" s="92" t="s">
        <v>85</v>
      </c>
      <c r="R74" s="184">
        <v>0</v>
      </c>
      <c r="S74" s="92" t="s">
        <v>84</v>
      </c>
      <c r="T74" s="92" t="s">
        <v>85</v>
      </c>
      <c r="U74" s="181">
        <f t="shared" si="6"/>
        <v>0</v>
      </c>
      <c r="V74" s="208" t="s">
        <v>84</v>
      </c>
      <c r="W74" s="208" t="s">
        <v>85</v>
      </c>
      <c r="Z74" s="168"/>
      <c r="AE74" s="8"/>
      <c r="AF74" s="6"/>
    </row>
    <row r="75" spans="1:32" x14ac:dyDescent="0.25">
      <c r="A75" s="89" t="s">
        <v>53</v>
      </c>
      <c r="B75" s="160"/>
      <c r="C75" s="159">
        <f>SUM(C61:C74)</f>
        <v>0</v>
      </c>
      <c r="D75" s="157">
        <f>SUM(C61:C74)</f>
        <v>0</v>
      </c>
      <c r="E75" s="157">
        <f>C75-D75</f>
        <v>0</v>
      </c>
      <c r="F75" s="159">
        <f>SUM(F61:F74)</f>
        <v>104</v>
      </c>
      <c r="G75" s="157">
        <f>SUM(F61:F74)</f>
        <v>104</v>
      </c>
      <c r="H75" s="157">
        <f>F75-G75</f>
        <v>0</v>
      </c>
      <c r="I75" s="159">
        <f>SUM(I61:I74)</f>
        <v>45</v>
      </c>
      <c r="J75" s="157">
        <f>SUM(I61:I74)</f>
        <v>45</v>
      </c>
      <c r="K75" s="157">
        <f>I75-J75</f>
        <v>0</v>
      </c>
      <c r="L75" s="159">
        <f>SUM(L61:L74)</f>
        <v>0</v>
      </c>
      <c r="M75" s="157">
        <f>SUM(L61:L74)</f>
        <v>0</v>
      </c>
      <c r="N75" s="157">
        <f>L75-M75</f>
        <v>0</v>
      </c>
      <c r="O75" s="159">
        <f>SUM(O61:O74)</f>
        <v>0</v>
      </c>
      <c r="P75" s="157">
        <f>SUM(O61:O74)</f>
        <v>0</v>
      </c>
      <c r="Q75" s="157">
        <f>O75-P75</f>
        <v>0</v>
      </c>
      <c r="R75" s="159">
        <f>SUM(R61:R74)</f>
        <v>0</v>
      </c>
      <c r="S75" s="157">
        <f>SUM(R61:R74)</f>
        <v>0</v>
      </c>
      <c r="T75" s="157">
        <f>R75-S75</f>
        <v>0</v>
      </c>
      <c r="U75" s="159">
        <f>SUM(U61:U74)</f>
        <v>149</v>
      </c>
      <c r="V75" s="157">
        <f>SUM(U61:U74)</f>
        <v>149</v>
      </c>
      <c r="W75" s="157">
        <f>U75-V75</f>
        <v>0</v>
      </c>
      <c r="Z75" s="87"/>
      <c r="AC75" s="6"/>
      <c r="AE75" s="8"/>
    </row>
    <row r="76" spans="1:32" x14ac:dyDescent="0.25">
      <c r="A76" s="75"/>
      <c r="B76" s="75"/>
      <c r="D76" s="26"/>
      <c r="G76" s="26"/>
      <c r="J76" s="26"/>
      <c r="M76" s="26"/>
      <c r="P76" s="26"/>
      <c r="S76" s="26"/>
      <c r="U76" s="26"/>
      <c r="V76" s="26"/>
      <c r="Z76" s="87"/>
      <c r="AC76" s="6"/>
      <c r="AE76" s="8"/>
    </row>
    <row r="77" spans="1:32" ht="15.75" thickBot="1" x14ac:dyDescent="0.3">
      <c r="A77" s="75"/>
      <c r="B77" s="75"/>
      <c r="D77" s="26"/>
      <c r="E77" s="26"/>
      <c r="G77" s="26"/>
      <c r="H77" s="26"/>
      <c r="J77" s="26"/>
      <c r="K77" s="26"/>
      <c r="M77" s="26"/>
      <c r="N77" s="26"/>
      <c r="P77" s="26"/>
      <c r="Q77" s="26"/>
      <c r="S77" s="26"/>
      <c r="T77" s="26"/>
      <c r="U77" s="26"/>
      <c r="V77" s="26"/>
      <c r="W77" s="26"/>
      <c r="Z77" s="26"/>
      <c r="AC77" s="6"/>
      <c r="AE77" s="8"/>
    </row>
    <row r="78" spans="1:32" ht="45.75" thickBot="1" x14ac:dyDescent="0.3">
      <c r="A78" s="198" t="s">
        <v>27</v>
      </c>
      <c r="B78" s="198" t="s">
        <v>35</v>
      </c>
      <c r="C78" s="200" t="s">
        <v>216</v>
      </c>
      <c r="D78" s="206"/>
      <c r="E78" s="206"/>
      <c r="F78" s="200" t="s">
        <v>217</v>
      </c>
      <c r="G78" s="206"/>
      <c r="H78" s="206"/>
      <c r="I78" s="200" t="s">
        <v>218</v>
      </c>
      <c r="J78" s="206"/>
      <c r="K78" s="206"/>
      <c r="L78" s="200" t="s">
        <v>231</v>
      </c>
      <c r="M78" s="206"/>
      <c r="N78" s="206"/>
      <c r="O78" s="200" t="s">
        <v>232</v>
      </c>
      <c r="P78" s="206"/>
      <c r="Q78" s="206"/>
      <c r="R78" s="200" t="s">
        <v>233</v>
      </c>
      <c r="S78" s="206"/>
      <c r="T78" s="206"/>
      <c r="U78" s="209" t="s">
        <v>215</v>
      </c>
      <c r="V78" s="26"/>
      <c r="W78" s="26"/>
      <c r="Y78" s="26"/>
      <c r="Z78" s="26"/>
      <c r="AE78" s="8"/>
    </row>
    <row r="79" spans="1:32" x14ac:dyDescent="0.25">
      <c r="A79" s="39" t="s">
        <v>177</v>
      </c>
      <c r="B79" t="s">
        <v>164</v>
      </c>
      <c r="C79" s="184">
        <v>0</v>
      </c>
      <c r="D79" s="26"/>
      <c r="E79" s="74"/>
      <c r="F79" s="184">
        <v>0</v>
      </c>
      <c r="G79" s="26"/>
      <c r="H79" s="74"/>
      <c r="I79" s="184">
        <v>0</v>
      </c>
      <c r="J79" s="26"/>
      <c r="K79" s="74"/>
      <c r="L79" s="184">
        <v>0</v>
      </c>
      <c r="M79" s="26"/>
      <c r="N79" s="74"/>
      <c r="O79" s="184">
        <v>0</v>
      </c>
      <c r="P79" s="26"/>
      <c r="Q79" s="74"/>
      <c r="R79" s="184">
        <v>0</v>
      </c>
      <c r="S79" s="26"/>
      <c r="T79" s="74"/>
      <c r="U79" s="181">
        <f t="shared" ref="U79:U88" si="7">C79+F79+I79+L79+O79+R79</f>
        <v>0</v>
      </c>
      <c r="V79" s="26"/>
      <c r="W79" s="74"/>
      <c r="Y79" s="26"/>
      <c r="Z79" s="26"/>
      <c r="AE79" s="8"/>
    </row>
    <row r="80" spans="1:32" x14ac:dyDescent="0.25">
      <c r="A80" s="39" t="s">
        <v>177</v>
      </c>
      <c r="B80" s="41" t="s">
        <v>145</v>
      </c>
      <c r="C80" s="184">
        <v>0</v>
      </c>
      <c r="D80" s="26"/>
      <c r="E80" s="74"/>
      <c r="F80" s="184">
        <v>0</v>
      </c>
      <c r="G80" s="26"/>
      <c r="H80" s="74"/>
      <c r="I80" s="184">
        <v>0</v>
      </c>
      <c r="J80" s="26"/>
      <c r="K80" s="74"/>
      <c r="L80" s="184">
        <v>0</v>
      </c>
      <c r="M80" s="26"/>
      <c r="N80" s="74"/>
      <c r="O80" s="184">
        <v>0</v>
      </c>
      <c r="P80" s="26"/>
      <c r="Q80" s="74"/>
      <c r="R80" s="184">
        <v>0</v>
      </c>
      <c r="S80" s="26"/>
      <c r="T80" s="74"/>
      <c r="U80" s="181">
        <f t="shared" si="7"/>
        <v>0</v>
      </c>
      <c r="V80" s="26"/>
      <c r="W80" s="74"/>
      <c r="Y80" s="26"/>
      <c r="Z80" s="26"/>
      <c r="AE80" s="8"/>
    </row>
    <row r="81" spans="1:31" x14ac:dyDescent="0.25">
      <c r="A81" s="39" t="s">
        <v>177</v>
      </c>
      <c r="B81" s="41" t="s">
        <v>147</v>
      </c>
      <c r="C81" s="184">
        <v>0</v>
      </c>
      <c r="D81" s="26"/>
      <c r="E81" s="74"/>
      <c r="F81" s="184">
        <v>0</v>
      </c>
      <c r="G81" s="26"/>
      <c r="H81" s="74"/>
      <c r="I81" s="184">
        <v>0</v>
      </c>
      <c r="J81" s="26"/>
      <c r="K81" s="74"/>
      <c r="L81" s="184">
        <v>0</v>
      </c>
      <c r="M81" s="26"/>
      <c r="N81" s="74"/>
      <c r="O81" s="184">
        <v>0</v>
      </c>
      <c r="P81" s="26"/>
      <c r="Q81" s="74"/>
      <c r="R81" s="184">
        <v>0</v>
      </c>
      <c r="S81" s="26"/>
      <c r="T81" s="74"/>
      <c r="U81" s="181">
        <f t="shared" si="7"/>
        <v>0</v>
      </c>
      <c r="V81" s="26"/>
      <c r="W81" s="74"/>
      <c r="Y81" s="26"/>
      <c r="Z81" s="26"/>
      <c r="AE81" s="8"/>
    </row>
    <row r="82" spans="1:31" x14ac:dyDescent="0.25">
      <c r="A82" s="39" t="s">
        <v>177</v>
      </c>
      <c r="B82" s="41" t="s">
        <v>149</v>
      </c>
      <c r="C82" s="184">
        <v>0</v>
      </c>
      <c r="D82" s="26"/>
      <c r="E82" s="74"/>
      <c r="F82" s="184">
        <v>0</v>
      </c>
      <c r="G82" s="26"/>
      <c r="H82" s="74"/>
      <c r="I82" s="184">
        <v>0</v>
      </c>
      <c r="J82" s="26"/>
      <c r="K82" s="74"/>
      <c r="L82" s="184">
        <v>0</v>
      </c>
      <c r="M82" s="26"/>
      <c r="N82" s="74"/>
      <c r="O82" s="184">
        <v>0</v>
      </c>
      <c r="P82" s="26"/>
      <c r="Q82" s="74"/>
      <c r="R82" s="184">
        <v>0</v>
      </c>
      <c r="S82" s="26"/>
      <c r="T82" s="74"/>
      <c r="U82" s="181">
        <f t="shared" si="7"/>
        <v>0</v>
      </c>
      <c r="V82" s="26"/>
      <c r="W82" s="74"/>
      <c r="Y82" s="26"/>
      <c r="Z82" s="26"/>
      <c r="AE82" s="8"/>
    </row>
    <row r="83" spans="1:31" x14ac:dyDescent="0.25">
      <c r="A83" s="39" t="s">
        <v>177</v>
      </c>
      <c r="B83" s="41" t="s">
        <v>155</v>
      </c>
      <c r="C83" s="184">
        <v>0</v>
      </c>
      <c r="D83" s="26"/>
      <c r="E83" s="74"/>
      <c r="F83" s="184">
        <v>0</v>
      </c>
      <c r="G83" s="26"/>
      <c r="H83" s="74"/>
      <c r="I83" s="184">
        <v>0</v>
      </c>
      <c r="J83" s="26"/>
      <c r="K83" s="74"/>
      <c r="L83" s="184">
        <v>0</v>
      </c>
      <c r="M83" s="26"/>
      <c r="N83" s="74"/>
      <c r="O83" s="184">
        <v>0</v>
      </c>
      <c r="P83" s="26"/>
      <c r="Q83" s="74"/>
      <c r="R83" s="184">
        <v>0</v>
      </c>
      <c r="S83" s="26"/>
      <c r="T83" s="74"/>
      <c r="U83" s="181">
        <f t="shared" si="7"/>
        <v>0</v>
      </c>
      <c r="V83" s="26"/>
      <c r="W83" s="74"/>
      <c r="Y83" s="26"/>
      <c r="Z83" s="26"/>
      <c r="AE83" s="8"/>
    </row>
    <row r="84" spans="1:31" x14ac:dyDescent="0.25">
      <c r="A84" s="39" t="s">
        <v>177</v>
      </c>
      <c r="B84" s="41" t="s">
        <v>157</v>
      </c>
      <c r="C84" s="184">
        <v>0</v>
      </c>
      <c r="D84" s="26"/>
      <c r="E84" s="74"/>
      <c r="F84" s="184">
        <v>0</v>
      </c>
      <c r="G84" s="26"/>
      <c r="H84" s="74"/>
      <c r="I84" s="184">
        <v>0</v>
      </c>
      <c r="J84" s="26"/>
      <c r="K84" s="74"/>
      <c r="L84" s="184">
        <v>0</v>
      </c>
      <c r="M84" s="26"/>
      <c r="N84" s="74"/>
      <c r="O84" s="184">
        <v>0</v>
      </c>
      <c r="P84" s="26"/>
      <c r="Q84" s="74"/>
      <c r="R84" s="184">
        <v>0</v>
      </c>
      <c r="S84" s="26"/>
      <c r="T84" s="74"/>
      <c r="U84" s="181">
        <f t="shared" si="7"/>
        <v>0</v>
      </c>
      <c r="V84" s="26"/>
      <c r="W84" s="74"/>
      <c r="Y84" s="26"/>
      <c r="Z84" s="26"/>
      <c r="AE84" s="8"/>
    </row>
    <row r="85" spans="1:31" x14ac:dyDescent="0.25">
      <c r="A85" s="39" t="s">
        <v>177</v>
      </c>
      <c r="B85" s="41" t="s">
        <v>202</v>
      </c>
      <c r="C85" s="184">
        <v>0</v>
      </c>
      <c r="D85" s="26"/>
      <c r="E85" s="74"/>
      <c r="F85" s="184">
        <v>0</v>
      </c>
      <c r="G85" s="26"/>
      <c r="H85" s="74"/>
      <c r="I85" s="184">
        <v>0</v>
      </c>
      <c r="J85" s="26"/>
      <c r="K85" s="74"/>
      <c r="L85" s="184">
        <v>0</v>
      </c>
      <c r="M85" s="26"/>
      <c r="N85" s="74"/>
      <c r="O85" s="184">
        <v>0</v>
      </c>
      <c r="P85" s="26"/>
      <c r="Q85" s="74"/>
      <c r="R85" s="184">
        <v>0</v>
      </c>
      <c r="S85" s="26"/>
      <c r="T85" s="74"/>
      <c r="U85" s="181">
        <f t="shared" si="7"/>
        <v>0</v>
      </c>
      <c r="V85" s="26"/>
      <c r="W85" s="74"/>
      <c r="Y85" s="26"/>
      <c r="Z85" s="26"/>
      <c r="AE85" s="8"/>
    </row>
    <row r="86" spans="1:31" x14ac:dyDescent="0.25">
      <c r="A86" s="39" t="s">
        <v>177</v>
      </c>
      <c r="B86" s="41" t="s">
        <v>158</v>
      </c>
      <c r="C86" s="184">
        <v>0</v>
      </c>
      <c r="D86" s="26"/>
      <c r="E86" s="74"/>
      <c r="F86" s="184">
        <v>0</v>
      </c>
      <c r="G86" s="26"/>
      <c r="H86" s="74"/>
      <c r="I86" s="184">
        <v>0</v>
      </c>
      <c r="J86" s="26"/>
      <c r="K86" s="74"/>
      <c r="L86" s="184">
        <v>0</v>
      </c>
      <c r="M86" s="26"/>
      <c r="N86" s="74"/>
      <c r="O86" s="184">
        <v>0</v>
      </c>
      <c r="P86" s="26"/>
      <c r="Q86" s="74"/>
      <c r="R86" s="184">
        <v>0</v>
      </c>
      <c r="S86" s="26"/>
      <c r="T86" s="74"/>
      <c r="U86" s="181">
        <f t="shared" si="7"/>
        <v>0</v>
      </c>
      <c r="V86" s="26"/>
      <c r="W86" s="74"/>
      <c r="Y86" s="26"/>
      <c r="Z86" s="26"/>
      <c r="AE86" s="8"/>
    </row>
    <row r="87" spans="1:31" x14ac:dyDescent="0.25">
      <c r="A87" s="39" t="s">
        <v>177</v>
      </c>
      <c r="B87" s="41" t="s">
        <v>163</v>
      </c>
      <c r="C87" s="184">
        <v>8</v>
      </c>
      <c r="D87" s="26"/>
      <c r="E87" s="74"/>
      <c r="F87" s="184">
        <v>0</v>
      </c>
      <c r="G87" s="26"/>
      <c r="H87" s="74"/>
      <c r="I87" s="184">
        <v>0</v>
      </c>
      <c r="J87" s="26"/>
      <c r="K87" s="74"/>
      <c r="L87" s="184">
        <v>0</v>
      </c>
      <c r="M87" s="26"/>
      <c r="N87" s="74"/>
      <c r="O87" s="184">
        <v>0</v>
      </c>
      <c r="P87" s="26"/>
      <c r="Q87" s="74"/>
      <c r="R87" s="184">
        <v>0</v>
      </c>
      <c r="S87" s="26"/>
      <c r="T87" s="74"/>
      <c r="U87" s="181">
        <f t="shared" si="7"/>
        <v>8</v>
      </c>
      <c r="V87" s="26"/>
      <c r="W87" s="74"/>
      <c r="Y87" s="26"/>
      <c r="Z87" s="26"/>
      <c r="AE87" s="8"/>
    </row>
    <row r="88" spans="1:31" x14ac:dyDescent="0.25">
      <c r="A88" s="203" t="s">
        <v>177</v>
      </c>
      <c r="B88" s="218" t="s">
        <v>154</v>
      </c>
      <c r="C88" s="219">
        <v>0</v>
      </c>
      <c r="D88" s="26"/>
      <c r="E88" s="74"/>
      <c r="F88" s="219">
        <v>0</v>
      </c>
      <c r="G88" s="26"/>
      <c r="H88" s="74"/>
      <c r="I88" s="219">
        <v>0</v>
      </c>
      <c r="J88" s="26"/>
      <c r="K88" s="74"/>
      <c r="L88" s="219">
        <v>0</v>
      </c>
      <c r="M88" s="26"/>
      <c r="N88" s="74"/>
      <c r="O88" s="219">
        <v>0</v>
      </c>
      <c r="P88" s="26"/>
      <c r="Q88" s="74"/>
      <c r="R88" s="219">
        <v>0</v>
      </c>
      <c r="S88" s="26"/>
      <c r="T88" s="74"/>
      <c r="U88" s="181">
        <f t="shared" si="7"/>
        <v>0</v>
      </c>
      <c r="V88" s="26"/>
      <c r="W88" s="74"/>
      <c r="Y88" s="26"/>
      <c r="Z88" s="26"/>
      <c r="AE88" s="8"/>
    </row>
    <row r="89" spans="1:31" x14ac:dyDescent="0.25">
      <c r="A89" s="221"/>
      <c r="B89" s="223"/>
      <c r="C89" s="224"/>
      <c r="D89" s="226"/>
      <c r="E89" s="227"/>
      <c r="F89" s="224"/>
      <c r="G89" s="226"/>
      <c r="H89" s="227"/>
      <c r="I89" s="224"/>
      <c r="J89" s="226"/>
      <c r="K89" s="227"/>
      <c r="L89" s="224"/>
      <c r="M89" s="226"/>
      <c r="N89" s="227"/>
      <c r="O89" s="224"/>
      <c r="P89" s="226"/>
      <c r="Q89" s="227"/>
      <c r="R89" s="224"/>
      <c r="S89" s="226"/>
      <c r="T89" s="227"/>
      <c r="U89" s="225"/>
      <c r="V89" s="26"/>
      <c r="W89" s="74"/>
      <c r="Y89" s="26"/>
      <c r="Z89" s="26"/>
      <c r="AE89" s="8"/>
    </row>
    <row r="90" spans="1:31" x14ac:dyDescent="0.25">
      <c r="A90" s="179" t="s">
        <v>16</v>
      </c>
      <c r="B90" t="s">
        <v>164</v>
      </c>
      <c r="C90" s="184">
        <v>4</v>
      </c>
      <c r="D90" s="26"/>
      <c r="E90" s="74"/>
      <c r="F90" s="184">
        <v>0</v>
      </c>
      <c r="G90" s="26"/>
      <c r="H90" s="74"/>
      <c r="I90" s="184">
        <v>0</v>
      </c>
      <c r="J90" s="26"/>
      <c r="K90" s="74"/>
      <c r="L90" s="184">
        <v>0</v>
      </c>
      <c r="M90" s="26"/>
      <c r="N90" s="74"/>
      <c r="O90" s="184">
        <v>0</v>
      </c>
      <c r="P90" s="26"/>
      <c r="Q90" s="74"/>
      <c r="R90" s="184">
        <v>0</v>
      </c>
      <c r="S90" s="26"/>
      <c r="T90" s="74"/>
      <c r="U90" s="181">
        <f t="shared" ref="U90:U115" si="8">C90+F90+I90+L90+O90+R90</f>
        <v>4</v>
      </c>
      <c r="V90" s="26"/>
      <c r="W90" s="74"/>
      <c r="Y90" s="26"/>
      <c r="Z90" s="26"/>
      <c r="AB90" s="59"/>
      <c r="AE90" s="8"/>
    </row>
    <row r="91" spans="1:31" x14ac:dyDescent="0.25">
      <c r="A91" s="39" t="s">
        <v>16</v>
      </c>
      <c r="B91" s="41" t="s">
        <v>145</v>
      </c>
      <c r="C91" s="184">
        <v>4</v>
      </c>
      <c r="D91" s="26"/>
      <c r="E91" s="74"/>
      <c r="F91" s="184">
        <v>0</v>
      </c>
      <c r="G91" s="26"/>
      <c r="H91" s="74"/>
      <c r="I91" s="184">
        <v>0</v>
      </c>
      <c r="J91" s="26"/>
      <c r="K91" s="74"/>
      <c r="L91" s="184">
        <v>0</v>
      </c>
      <c r="M91" s="26"/>
      <c r="N91" s="74"/>
      <c r="O91" s="184">
        <v>0</v>
      </c>
      <c r="P91" s="26"/>
      <c r="Q91" s="74"/>
      <c r="R91" s="184">
        <v>0</v>
      </c>
      <c r="S91" s="26"/>
      <c r="T91" s="74"/>
      <c r="U91" s="181">
        <f t="shared" si="8"/>
        <v>4</v>
      </c>
      <c r="V91" s="26"/>
      <c r="W91" s="74"/>
      <c r="Y91" s="26"/>
      <c r="Z91" s="26"/>
      <c r="AB91" s="26"/>
      <c r="AE91" s="8"/>
    </row>
    <row r="92" spans="1:31" x14ac:dyDescent="0.25">
      <c r="A92" s="39" t="s">
        <v>16</v>
      </c>
      <c r="B92" s="41" t="s">
        <v>146</v>
      </c>
      <c r="C92" s="184">
        <v>4</v>
      </c>
      <c r="D92" s="26"/>
      <c r="E92" s="74"/>
      <c r="F92" s="184">
        <v>0</v>
      </c>
      <c r="G92" s="26"/>
      <c r="H92" s="74"/>
      <c r="I92" s="184">
        <v>0</v>
      </c>
      <c r="J92" s="26"/>
      <c r="K92" s="74"/>
      <c r="L92" s="184">
        <v>0</v>
      </c>
      <c r="M92" s="26"/>
      <c r="N92" s="74"/>
      <c r="O92" s="184">
        <v>0</v>
      </c>
      <c r="P92" s="26"/>
      <c r="Q92" s="74"/>
      <c r="R92" s="184">
        <v>0</v>
      </c>
      <c r="S92" s="26"/>
      <c r="T92" s="74"/>
      <c r="U92" s="181">
        <f t="shared" si="8"/>
        <v>4</v>
      </c>
      <c r="V92" s="26"/>
      <c r="W92" s="74"/>
      <c r="Y92" s="26"/>
      <c r="Z92" s="26"/>
      <c r="AB92" s="26"/>
      <c r="AE92" s="8"/>
    </row>
    <row r="93" spans="1:31" x14ac:dyDescent="0.25">
      <c r="A93" s="39" t="s">
        <v>16</v>
      </c>
      <c r="B93" s="41" t="s">
        <v>147</v>
      </c>
      <c r="C93" s="184">
        <v>4</v>
      </c>
      <c r="D93" s="26"/>
      <c r="E93" s="74"/>
      <c r="F93" s="184">
        <v>0</v>
      </c>
      <c r="G93" s="26"/>
      <c r="H93" s="74"/>
      <c r="I93" s="184">
        <v>0</v>
      </c>
      <c r="J93" s="26"/>
      <c r="K93" s="74"/>
      <c r="L93" s="184">
        <v>0</v>
      </c>
      <c r="M93" s="26"/>
      <c r="N93" s="74"/>
      <c r="O93" s="184">
        <v>0</v>
      </c>
      <c r="P93" s="26"/>
      <c r="Q93" s="74"/>
      <c r="R93" s="184">
        <v>0</v>
      </c>
      <c r="S93" s="26"/>
      <c r="T93" s="74"/>
      <c r="U93" s="181">
        <f t="shared" si="8"/>
        <v>4</v>
      </c>
      <c r="V93" s="26"/>
      <c r="W93" s="74"/>
      <c r="Y93" s="26"/>
      <c r="Z93" s="26"/>
      <c r="AB93" s="26"/>
      <c r="AE93" s="8"/>
    </row>
    <row r="94" spans="1:31" x14ac:dyDescent="0.25">
      <c r="A94" s="39" t="s">
        <v>16</v>
      </c>
      <c r="B94" s="41" t="s">
        <v>148</v>
      </c>
      <c r="C94" s="184">
        <v>4</v>
      </c>
      <c r="D94" s="26"/>
      <c r="E94" s="74"/>
      <c r="F94" s="184">
        <v>0</v>
      </c>
      <c r="G94" s="26"/>
      <c r="H94" s="74"/>
      <c r="I94" s="184">
        <v>0</v>
      </c>
      <c r="J94" s="26"/>
      <c r="K94" s="74"/>
      <c r="L94" s="184">
        <v>0</v>
      </c>
      <c r="M94" s="26"/>
      <c r="N94" s="74"/>
      <c r="O94" s="184">
        <v>0</v>
      </c>
      <c r="P94" s="26"/>
      <c r="Q94" s="74"/>
      <c r="R94" s="184">
        <v>0</v>
      </c>
      <c r="S94" s="26"/>
      <c r="T94" s="74"/>
      <c r="U94" s="181">
        <f t="shared" si="8"/>
        <v>4</v>
      </c>
      <c r="V94" s="26"/>
      <c r="W94" s="74"/>
      <c r="Y94" s="26"/>
      <c r="Z94" s="26"/>
      <c r="AB94" s="26"/>
      <c r="AE94" s="8"/>
    </row>
    <row r="95" spans="1:31" x14ac:dyDescent="0.25">
      <c r="A95" s="39" t="s">
        <v>16</v>
      </c>
      <c r="B95" s="41" t="s">
        <v>149</v>
      </c>
      <c r="C95" s="184">
        <v>4</v>
      </c>
      <c r="D95" s="26"/>
      <c r="E95" s="74"/>
      <c r="F95" s="184">
        <v>0</v>
      </c>
      <c r="G95" s="26"/>
      <c r="H95" s="74"/>
      <c r="I95" s="184">
        <v>0</v>
      </c>
      <c r="J95" s="26"/>
      <c r="K95" s="74"/>
      <c r="L95" s="184">
        <v>0</v>
      </c>
      <c r="M95" s="26"/>
      <c r="N95" s="74"/>
      <c r="O95" s="184">
        <v>0</v>
      </c>
      <c r="P95" s="26"/>
      <c r="Q95" s="74"/>
      <c r="R95" s="184">
        <v>0</v>
      </c>
      <c r="S95" s="26"/>
      <c r="T95" s="74"/>
      <c r="U95" s="181">
        <f t="shared" si="8"/>
        <v>4</v>
      </c>
      <c r="V95" s="26"/>
      <c r="W95" s="74"/>
      <c r="Y95" s="26"/>
      <c r="Z95" s="26"/>
      <c r="AB95" s="26"/>
      <c r="AE95" s="8"/>
    </row>
    <row r="96" spans="1:31" x14ac:dyDescent="0.25">
      <c r="A96" s="39" t="s">
        <v>16</v>
      </c>
      <c r="B96" s="41" t="s">
        <v>150</v>
      </c>
      <c r="C96" s="184">
        <v>4</v>
      </c>
      <c r="D96" s="26"/>
      <c r="E96" s="74"/>
      <c r="F96" s="184">
        <v>0</v>
      </c>
      <c r="G96" s="26"/>
      <c r="H96" s="74"/>
      <c r="I96" s="184">
        <v>0</v>
      </c>
      <c r="J96" s="26"/>
      <c r="K96" s="74"/>
      <c r="L96" s="184">
        <v>0</v>
      </c>
      <c r="M96" s="26"/>
      <c r="N96" s="74"/>
      <c r="O96" s="184">
        <v>0</v>
      </c>
      <c r="P96" s="26"/>
      <c r="Q96" s="74"/>
      <c r="R96" s="184">
        <v>0</v>
      </c>
      <c r="S96" s="26"/>
      <c r="T96" s="74"/>
      <c r="U96" s="181">
        <f t="shared" si="8"/>
        <v>4</v>
      </c>
      <c r="V96" s="26"/>
      <c r="W96" s="74"/>
      <c r="Y96" s="26"/>
      <c r="Z96" s="26"/>
      <c r="AB96" s="26"/>
      <c r="AE96" s="8"/>
    </row>
    <row r="97" spans="1:31" x14ac:dyDescent="0.25">
      <c r="A97" s="39" t="s">
        <v>16</v>
      </c>
      <c r="B97" s="41" t="s">
        <v>151</v>
      </c>
      <c r="C97" s="184">
        <v>4</v>
      </c>
      <c r="D97" s="26"/>
      <c r="E97" s="74"/>
      <c r="F97" s="184">
        <v>0</v>
      </c>
      <c r="G97" s="26"/>
      <c r="H97" s="74"/>
      <c r="I97" s="184">
        <v>0</v>
      </c>
      <c r="J97" s="26"/>
      <c r="K97" s="74"/>
      <c r="L97" s="184">
        <v>0</v>
      </c>
      <c r="M97" s="26"/>
      <c r="N97" s="74"/>
      <c r="O97" s="184">
        <v>0</v>
      </c>
      <c r="P97" s="26"/>
      <c r="Q97" s="74"/>
      <c r="R97" s="184">
        <v>0</v>
      </c>
      <c r="S97" s="26"/>
      <c r="T97" s="74"/>
      <c r="U97" s="181">
        <f t="shared" si="8"/>
        <v>4</v>
      </c>
      <c r="V97" s="26"/>
      <c r="W97" s="74"/>
      <c r="Y97" s="26"/>
      <c r="Z97" s="26"/>
      <c r="AB97" s="26"/>
      <c r="AE97" s="8"/>
    </row>
    <row r="98" spans="1:31" x14ac:dyDescent="0.25">
      <c r="A98" s="39" t="s">
        <v>16</v>
      </c>
      <c r="B98" s="41" t="s">
        <v>152</v>
      </c>
      <c r="C98" s="184">
        <v>4</v>
      </c>
      <c r="D98" s="26"/>
      <c r="E98" s="74"/>
      <c r="F98" s="184">
        <v>0</v>
      </c>
      <c r="G98" s="26"/>
      <c r="H98" s="74"/>
      <c r="I98" s="184">
        <v>0</v>
      </c>
      <c r="J98" s="26"/>
      <c r="K98" s="74"/>
      <c r="L98" s="184">
        <v>0</v>
      </c>
      <c r="M98" s="26"/>
      <c r="N98" s="74"/>
      <c r="O98" s="184">
        <v>0</v>
      </c>
      <c r="P98" s="26"/>
      <c r="Q98" s="74"/>
      <c r="R98" s="184">
        <v>0</v>
      </c>
      <c r="S98" s="26"/>
      <c r="T98" s="74"/>
      <c r="U98" s="181">
        <f t="shared" si="8"/>
        <v>4</v>
      </c>
      <c r="V98" s="26"/>
      <c r="W98" s="74"/>
      <c r="Y98" s="26"/>
      <c r="Z98" s="26"/>
      <c r="AB98" s="26"/>
      <c r="AE98" s="8"/>
    </row>
    <row r="99" spans="1:31" x14ac:dyDescent="0.25">
      <c r="A99" s="39" t="s">
        <v>16</v>
      </c>
      <c r="B99" s="41" t="s">
        <v>153</v>
      </c>
      <c r="C99" s="184">
        <v>4</v>
      </c>
      <c r="D99" s="26"/>
      <c r="E99" s="74"/>
      <c r="F99" s="184">
        <v>0</v>
      </c>
      <c r="G99" s="26"/>
      <c r="H99" s="74"/>
      <c r="I99" s="184">
        <v>0</v>
      </c>
      <c r="J99" s="26"/>
      <c r="K99" s="74"/>
      <c r="L99" s="184">
        <v>0</v>
      </c>
      <c r="M99" s="26"/>
      <c r="N99" s="74"/>
      <c r="O99" s="184">
        <v>0</v>
      </c>
      <c r="P99" s="26"/>
      <c r="Q99" s="74"/>
      <c r="R99" s="184">
        <v>0</v>
      </c>
      <c r="S99" s="26"/>
      <c r="T99" s="74"/>
      <c r="U99" s="181">
        <f t="shared" si="8"/>
        <v>4</v>
      </c>
      <c r="V99" s="26"/>
      <c r="W99" s="74"/>
      <c r="Y99" s="26"/>
      <c r="Z99" s="26"/>
      <c r="AB99" s="26"/>
      <c r="AE99" s="8"/>
    </row>
    <row r="100" spans="1:31" x14ac:dyDescent="0.25">
      <c r="A100" s="39" t="s">
        <v>16</v>
      </c>
      <c r="B100" s="41" t="s">
        <v>154</v>
      </c>
      <c r="C100" s="184">
        <v>4</v>
      </c>
      <c r="D100" s="26"/>
      <c r="E100" s="74"/>
      <c r="F100" s="184">
        <v>0</v>
      </c>
      <c r="G100" s="26"/>
      <c r="H100" s="74"/>
      <c r="I100" s="184">
        <v>0</v>
      </c>
      <c r="J100" s="26"/>
      <c r="K100" s="74"/>
      <c r="L100" s="184">
        <v>0</v>
      </c>
      <c r="M100" s="26"/>
      <c r="N100" s="74"/>
      <c r="O100" s="184">
        <v>0</v>
      </c>
      <c r="P100" s="26"/>
      <c r="Q100" s="74"/>
      <c r="R100" s="184">
        <v>0</v>
      </c>
      <c r="S100" s="26"/>
      <c r="T100" s="74"/>
      <c r="U100" s="181">
        <f t="shared" si="8"/>
        <v>4</v>
      </c>
      <c r="V100" s="26"/>
      <c r="W100" s="74"/>
      <c r="Y100" s="26"/>
      <c r="Z100" s="26"/>
      <c r="AB100" s="26"/>
      <c r="AE100" s="8"/>
    </row>
    <row r="101" spans="1:31" x14ac:dyDescent="0.25">
      <c r="A101" s="39" t="s">
        <v>16</v>
      </c>
      <c r="B101" s="41" t="s">
        <v>155</v>
      </c>
      <c r="C101" s="184">
        <v>4</v>
      </c>
      <c r="D101" s="26"/>
      <c r="E101" s="74"/>
      <c r="F101" s="184">
        <v>0</v>
      </c>
      <c r="G101" s="26"/>
      <c r="H101" s="74"/>
      <c r="I101" s="184">
        <v>0</v>
      </c>
      <c r="J101" s="26"/>
      <c r="K101" s="74"/>
      <c r="L101" s="184">
        <v>0</v>
      </c>
      <c r="M101" s="26"/>
      <c r="N101" s="74"/>
      <c r="O101" s="184">
        <v>0</v>
      </c>
      <c r="P101" s="26"/>
      <c r="Q101" s="74"/>
      <c r="R101" s="184">
        <v>0</v>
      </c>
      <c r="S101" s="26"/>
      <c r="T101" s="74"/>
      <c r="U101" s="181">
        <f t="shared" si="8"/>
        <v>4</v>
      </c>
      <c r="V101" s="26"/>
      <c r="W101" s="74"/>
      <c r="Y101" s="26"/>
      <c r="Z101" s="26"/>
      <c r="AB101" s="26"/>
      <c r="AE101" s="8"/>
    </row>
    <row r="102" spans="1:31" x14ac:dyDescent="0.25">
      <c r="A102" s="39" t="s">
        <v>16</v>
      </c>
      <c r="B102" s="41" t="s">
        <v>156</v>
      </c>
      <c r="C102" s="184">
        <v>4</v>
      </c>
      <c r="D102" s="26"/>
      <c r="E102" s="74"/>
      <c r="F102" s="184">
        <v>0</v>
      </c>
      <c r="G102" s="26"/>
      <c r="H102" s="74"/>
      <c r="I102" s="184">
        <v>0</v>
      </c>
      <c r="J102" s="26"/>
      <c r="K102" s="74"/>
      <c r="L102" s="184">
        <v>0</v>
      </c>
      <c r="M102" s="26"/>
      <c r="N102" s="74"/>
      <c r="O102" s="184">
        <v>0</v>
      </c>
      <c r="P102" s="26"/>
      <c r="Q102" s="74"/>
      <c r="R102" s="184">
        <v>0</v>
      </c>
      <c r="S102" s="26"/>
      <c r="T102" s="74"/>
      <c r="U102" s="181">
        <f t="shared" si="8"/>
        <v>4</v>
      </c>
      <c r="V102" s="26"/>
      <c r="W102" s="74"/>
      <c r="Y102" s="26"/>
      <c r="Z102" s="26"/>
      <c r="AB102" s="26"/>
      <c r="AE102" s="8"/>
    </row>
    <row r="103" spans="1:31" x14ac:dyDescent="0.25">
      <c r="A103" s="39" t="s">
        <v>16</v>
      </c>
      <c r="B103" s="41" t="s">
        <v>157</v>
      </c>
      <c r="C103" s="184">
        <v>4</v>
      </c>
      <c r="D103" s="26"/>
      <c r="E103" s="74"/>
      <c r="F103" s="184">
        <v>0</v>
      </c>
      <c r="G103" s="26"/>
      <c r="H103" s="74"/>
      <c r="I103" s="184">
        <v>0</v>
      </c>
      <c r="J103" s="26"/>
      <c r="K103" s="74"/>
      <c r="L103" s="184">
        <v>0</v>
      </c>
      <c r="M103" s="26"/>
      <c r="N103" s="74"/>
      <c r="O103" s="184">
        <v>0</v>
      </c>
      <c r="P103" s="26"/>
      <c r="Q103" s="74"/>
      <c r="R103" s="184">
        <v>0</v>
      </c>
      <c r="S103" s="26"/>
      <c r="T103" s="74"/>
      <c r="U103" s="181">
        <f t="shared" si="8"/>
        <v>4</v>
      </c>
      <c r="V103" s="26"/>
      <c r="W103" s="74"/>
      <c r="Y103" s="26"/>
      <c r="Z103" s="26"/>
      <c r="AB103" s="26"/>
      <c r="AE103" s="8"/>
    </row>
    <row r="104" spans="1:31" x14ac:dyDescent="0.25">
      <c r="A104" s="39" t="s">
        <v>16</v>
      </c>
      <c r="B104" s="41" t="s">
        <v>158</v>
      </c>
      <c r="C104" s="184">
        <v>4</v>
      </c>
      <c r="D104" s="26"/>
      <c r="E104" s="74"/>
      <c r="F104" s="184">
        <v>0</v>
      </c>
      <c r="G104" s="26"/>
      <c r="H104" s="74"/>
      <c r="I104" s="184">
        <v>0</v>
      </c>
      <c r="J104" s="26"/>
      <c r="K104" s="74"/>
      <c r="L104" s="184">
        <v>0</v>
      </c>
      <c r="M104" s="26"/>
      <c r="N104" s="74"/>
      <c r="O104" s="184">
        <v>0</v>
      </c>
      <c r="P104" s="26"/>
      <c r="Q104" s="74"/>
      <c r="R104" s="184">
        <v>0</v>
      </c>
      <c r="S104" s="26"/>
      <c r="T104" s="74"/>
      <c r="U104" s="181">
        <f t="shared" si="8"/>
        <v>4</v>
      </c>
      <c r="V104" s="26"/>
      <c r="W104" s="74"/>
      <c r="Y104" s="26"/>
      <c r="Z104" s="26"/>
      <c r="AB104" s="26"/>
      <c r="AE104" s="8"/>
    </row>
    <row r="105" spans="1:31" x14ac:dyDescent="0.25">
      <c r="A105" s="39" t="s">
        <v>16</v>
      </c>
      <c r="B105" s="41" t="s">
        <v>159</v>
      </c>
      <c r="C105" s="184">
        <v>4</v>
      </c>
      <c r="D105" s="26"/>
      <c r="E105" s="74"/>
      <c r="F105" s="184">
        <v>0</v>
      </c>
      <c r="G105" s="26"/>
      <c r="H105" s="74"/>
      <c r="I105" s="184">
        <v>0</v>
      </c>
      <c r="J105" s="26"/>
      <c r="K105" s="74"/>
      <c r="L105" s="184">
        <v>0</v>
      </c>
      <c r="M105" s="26"/>
      <c r="N105" s="74"/>
      <c r="O105" s="184">
        <v>0</v>
      </c>
      <c r="P105" s="26"/>
      <c r="Q105" s="74"/>
      <c r="R105" s="184">
        <v>0</v>
      </c>
      <c r="S105" s="26"/>
      <c r="T105" s="74"/>
      <c r="U105" s="181">
        <f t="shared" si="8"/>
        <v>4</v>
      </c>
      <c r="V105" s="26"/>
      <c r="W105" s="74"/>
      <c r="Y105" s="26"/>
      <c r="Z105" s="26"/>
      <c r="AB105" s="26"/>
      <c r="AE105" s="8"/>
    </row>
    <row r="106" spans="1:31" x14ac:dyDescent="0.25">
      <c r="A106" s="39" t="s">
        <v>16</v>
      </c>
      <c r="B106" s="41" t="s">
        <v>160</v>
      </c>
      <c r="C106" s="184">
        <v>4</v>
      </c>
      <c r="D106" s="26"/>
      <c r="E106" s="74"/>
      <c r="F106" s="184">
        <v>0</v>
      </c>
      <c r="G106" s="26"/>
      <c r="H106" s="74"/>
      <c r="I106" s="184">
        <v>0</v>
      </c>
      <c r="J106" s="26"/>
      <c r="K106" s="74"/>
      <c r="L106" s="184">
        <v>0</v>
      </c>
      <c r="M106" s="26"/>
      <c r="N106" s="74"/>
      <c r="O106" s="184">
        <v>0</v>
      </c>
      <c r="P106" s="26"/>
      <c r="Q106" s="74"/>
      <c r="R106" s="184">
        <v>0</v>
      </c>
      <c r="S106" s="26"/>
      <c r="T106" s="74"/>
      <c r="U106" s="181">
        <f t="shared" si="8"/>
        <v>4</v>
      </c>
      <c r="V106" s="26"/>
      <c r="W106" s="74"/>
      <c r="Y106" s="26"/>
      <c r="Z106" s="26"/>
      <c r="AB106" s="26"/>
      <c r="AE106" s="8"/>
    </row>
    <row r="107" spans="1:31" x14ac:dyDescent="0.25">
      <c r="A107" s="39" t="s">
        <v>16</v>
      </c>
      <c r="B107" s="41" t="s">
        <v>161</v>
      </c>
      <c r="C107" s="184">
        <v>8</v>
      </c>
      <c r="D107" s="167"/>
      <c r="E107" s="74"/>
      <c r="F107" s="184">
        <v>0</v>
      </c>
      <c r="H107" s="74"/>
      <c r="I107" s="184">
        <v>0</v>
      </c>
      <c r="K107" s="74"/>
      <c r="L107" s="184">
        <v>0</v>
      </c>
      <c r="N107" s="74"/>
      <c r="O107" s="184">
        <v>0</v>
      </c>
      <c r="Q107" s="74"/>
      <c r="R107" s="184">
        <v>0</v>
      </c>
      <c r="T107" s="74"/>
      <c r="U107" s="181">
        <f t="shared" si="8"/>
        <v>8</v>
      </c>
      <c r="W107" s="74"/>
      <c r="X107" s="167"/>
      <c r="Y107" s="26"/>
      <c r="Z107" s="26"/>
      <c r="AB107" s="26"/>
      <c r="AE107" s="8"/>
    </row>
    <row r="108" spans="1:31" x14ac:dyDescent="0.25">
      <c r="A108" s="39" t="s">
        <v>16</v>
      </c>
      <c r="B108" s="41" t="s">
        <v>162</v>
      </c>
      <c r="C108" s="184">
        <v>4</v>
      </c>
      <c r="E108" s="74"/>
      <c r="F108" s="184">
        <v>0</v>
      </c>
      <c r="H108" s="74"/>
      <c r="I108" s="184">
        <v>0</v>
      </c>
      <c r="K108" s="74"/>
      <c r="L108" s="184">
        <v>0</v>
      </c>
      <c r="N108" s="74"/>
      <c r="O108" s="184">
        <v>0</v>
      </c>
      <c r="Q108" s="74"/>
      <c r="R108" s="184">
        <v>0</v>
      </c>
      <c r="T108" s="74"/>
      <c r="U108" s="181">
        <f t="shared" si="8"/>
        <v>4</v>
      </c>
      <c r="W108" s="74"/>
      <c r="Y108" s="26"/>
      <c r="Z108" s="26"/>
      <c r="AB108" s="26"/>
      <c r="AE108" s="8"/>
    </row>
    <row r="109" spans="1:31" x14ac:dyDescent="0.25">
      <c r="A109" s="39" t="s">
        <v>16</v>
      </c>
      <c r="B109" s="41" t="s">
        <v>202</v>
      </c>
      <c r="C109" s="184">
        <v>4</v>
      </c>
      <c r="E109" s="74"/>
      <c r="F109" s="184">
        <v>0</v>
      </c>
      <c r="H109" s="74"/>
      <c r="I109" s="184">
        <v>0</v>
      </c>
      <c r="K109" s="74"/>
      <c r="L109" s="184">
        <v>0</v>
      </c>
      <c r="N109" s="74"/>
      <c r="O109" s="184">
        <v>0</v>
      </c>
      <c r="Q109" s="74"/>
      <c r="R109" s="184">
        <v>0</v>
      </c>
      <c r="T109" s="74"/>
      <c r="U109" s="181">
        <f t="shared" si="8"/>
        <v>4</v>
      </c>
      <c r="W109" s="74"/>
      <c r="Y109" s="26"/>
      <c r="Z109" s="26"/>
      <c r="AB109" s="26"/>
      <c r="AE109" s="8"/>
    </row>
    <row r="110" spans="1:31" x14ac:dyDescent="0.25">
      <c r="A110" s="39" t="s">
        <v>16</v>
      </c>
      <c r="B110" s="41" t="s">
        <v>163</v>
      </c>
      <c r="C110" s="184">
        <v>4</v>
      </c>
      <c r="E110" s="74"/>
      <c r="F110" s="184">
        <v>0</v>
      </c>
      <c r="H110" s="74"/>
      <c r="I110" s="184">
        <v>0</v>
      </c>
      <c r="K110" s="74"/>
      <c r="L110" s="184">
        <v>0</v>
      </c>
      <c r="N110" s="74"/>
      <c r="O110" s="184">
        <v>0</v>
      </c>
      <c r="Q110" s="74"/>
      <c r="R110" s="184">
        <v>0</v>
      </c>
      <c r="T110" s="74"/>
      <c r="U110" s="181">
        <f t="shared" si="8"/>
        <v>4</v>
      </c>
      <c r="W110" s="74"/>
      <c r="Y110" s="26"/>
      <c r="Z110" s="26"/>
      <c r="AB110" s="26"/>
    </row>
    <row r="111" spans="1:31" x14ac:dyDescent="0.25">
      <c r="A111" s="39" t="s">
        <v>16</v>
      </c>
      <c r="B111" s="41" t="s">
        <v>165</v>
      </c>
      <c r="C111" s="184">
        <v>4</v>
      </c>
      <c r="D111" s="26"/>
      <c r="E111" s="74"/>
      <c r="F111" s="184">
        <v>0</v>
      </c>
      <c r="G111" s="26"/>
      <c r="H111" s="74"/>
      <c r="I111" s="184">
        <v>0</v>
      </c>
      <c r="J111" s="26"/>
      <c r="K111" s="74"/>
      <c r="L111" s="184">
        <v>0</v>
      </c>
      <c r="M111" s="26"/>
      <c r="N111" s="74"/>
      <c r="O111" s="184">
        <v>0</v>
      </c>
      <c r="P111" s="26"/>
      <c r="Q111" s="74"/>
      <c r="R111" s="184">
        <v>0</v>
      </c>
      <c r="S111" s="26"/>
      <c r="T111" s="74"/>
      <c r="U111" s="181">
        <f t="shared" si="8"/>
        <v>4</v>
      </c>
      <c r="V111" s="26"/>
      <c r="W111" s="74"/>
      <c r="Y111" s="26"/>
      <c r="Z111" s="26"/>
      <c r="AB111" s="26"/>
      <c r="AE111" s="8"/>
    </row>
    <row r="112" spans="1:31" x14ac:dyDescent="0.25">
      <c r="A112" s="39" t="s">
        <v>16</v>
      </c>
      <c r="B112" s="41" t="s">
        <v>166</v>
      </c>
      <c r="C112" s="184">
        <v>4</v>
      </c>
      <c r="D112" s="26"/>
      <c r="E112" s="74"/>
      <c r="F112" s="184">
        <v>0</v>
      </c>
      <c r="G112" s="26"/>
      <c r="H112" s="74"/>
      <c r="I112" s="184">
        <v>0</v>
      </c>
      <c r="J112" s="26"/>
      <c r="K112" s="74"/>
      <c r="L112" s="184">
        <v>0</v>
      </c>
      <c r="M112" s="26"/>
      <c r="N112" s="74"/>
      <c r="O112" s="184">
        <v>0</v>
      </c>
      <c r="P112" s="26"/>
      <c r="Q112" s="74"/>
      <c r="R112" s="184">
        <v>0</v>
      </c>
      <c r="S112" s="26"/>
      <c r="T112" s="74"/>
      <c r="U112" s="181">
        <f t="shared" si="8"/>
        <v>4</v>
      </c>
      <c r="V112" s="26"/>
      <c r="W112" s="74"/>
      <c r="Y112" s="26"/>
      <c r="Z112" s="26"/>
      <c r="AB112" s="26"/>
      <c r="AE112" s="8"/>
    </row>
    <row r="113" spans="1:31" x14ac:dyDescent="0.25">
      <c r="A113" s="39" t="s">
        <v>16</v>
      </c>
      <c r="B113" s="41" t="s">
        <v>167</v>
      </c>
      <c r="C113" s="184">
        <v>4</v>
      </c>
      <c r="D113" s="26"/>
      <c r="E113" s="74"/>
      <c r="F113" s="184">
        <v>0</v>
      </c>
      <c r="G113" s="26"/>
      <c r="H113" s="74"/>
      <c r="I113" s="184">
        <v>0</v>
      </c>
      <c r="J113" s="26"/>
      <c r="K113" s="74"/>
      <c r="L113" s="184">
        <v>0</v>
      </c>
      <c r="M113" s="26"/>
      <c r="N113" s="74"/>
      <c r="O113" s="184">
        <v>0</v>
      </c>
      <c r="P113" s="26"/>
      <c r="Q113" s="74"/>
      <c r="R113" s="184">
        <v>0</v>
      </c>
      <c r="S113" s="26"/>
      <c r="T113" s="74"/>
      <c r="U113" s="181">
        <f t="shared" si="8"/>
        <v>4</v>
      </c>
      <c r="V113" s="26"/>
      <c r="W113" s="74"/>
      <c r="Y113" s="26"/>
      <c r="Z113" s="26"/>
      <c r="AB113" s="26"/>
      <c r="AE113" s="8"/>
    </row>
    <row r="114" spans="1:31" x14ac:dyDescent="0.25">
      <c r="A114" s="39" t="s">
        <v>16</v>
      </c>
      <c r="B114" s="41" t="s">
        <v>171</v>
      </c>
      <c r="C114" s="184">
        <v>4</v>
      </c>
      <c r="D114" s="26"/>
      <c r="E114" s="74"/>
      <c r="F114" s="184">
        <v>0</v>
      </c>
      <c r="G114" s="26"/>
      <c r="H114" s="74"/>
      <c r="I114" s="184">
        <v>0</v>
      </c>
      <c r="J114" s="26"/>
      <c r="K114" s="74"/>
      <c r="L114" s="184">
        <v>0</v>
      </c>
      <c r="M114" s="26"/>
      <c r="N114" s="74"/>
      <c r="O114" s="184">
        <v>0</v>
      </c>
      <c r="P114" s="26"/>
      <c r="Q114" s="74"/>
      <c r="R114" s="184">
        <v>0</v>
      </c>
      <c r="S114" s="26"/>
      <c r="T114" s="74"/>
      <c r="U114" s="181">
        <f t="shared" si="8"/>
        <v>4</v>
      </c>
      <c r="V114" s="26"/>
      <c r="W114" s="74"/>
      <c r="Y114" s="26"/>
      <c r="Z114" s="26"/>
      <c r="AB114" s="26"/>
      <c r="AE114" s="8"/>
    </row>
    <row r="115" spans="1:31" x14ac:dyDescent="0.25">
      <c r="A115" s="39" t="s">
        <v>16</v>
      </c>
      <c r="B115" s="41" t="s">
        <v>172</v>
      </c>
      <c r="C115" s="184">
        <v>0</v>
      </c>
      <c r="D115" s="26"/>
      <c r="E115" s="26"/>
      <c r="F115" s="184">
        <v>0</v>
      </c>
      <c r="G115" s="26"/>
      <c r="H115" s="26"/>
      <c r="I115" s="184">
        <v>0</v>
      </c>
      <c r="J115" s="26"/>
      <c r="K115" s="26"/>
      <c r="L115" s="184">
        <v>0</v>
      </c>
      <c r="M115" s="26"/>
      <c r="N115" s="26"/>
      <c r="O115" s="184">
        <v>0</v>
      </c>
      <c r="P115" s="26"/>
      <c r="Q115" s="26"/>
      <c r="R115" s="184">
        <v>0</v>
      </c>
      <c r="S115" s="26"/>
      <c r="T115" s="26"/>
      <c r="U115" s="181">
        <f t="shared" si="8"/>
        <v>0</v>
      </c>
      <c r="V115" s="26"/>
      <c r="W115" s="26"/>
      <c r="Y115" s="26"/>
      <c r="Z115" s="26"/>
      <c r="AB115" s="26"/>
      <c r="AE115" s="8"/>
    </row>
    <row r="116" spans="1:31" x14ac:dyDescent="0.25">
      <c r="A116" s="60" t="s">
        <v>53</v>
      </c>
      <c r="B116" s="158"/>
      <c r="C116" s="157">
        <f>SUM(C79:C115)</f>
        <v>112</v>
      </c>
      <c r="E116" s="26"/>
      <c r="F116" s="157">
        <f>SUM(F79:F115)</f>
        <v>0</v>
      </c>
      <c r="H116" s="26"/>
      <c r="I116" s="157">
        <f>SUM(I79:I115)</f>
        <v>0</v>
      </c>
      <c r="K116" s="26"/>
      <c r="L116" s="157">
        <f>SUM(L79:L115)</f>
        <v>0</v>
      </c>
      <c r="N116" s="26"/>
      <c r="O116" s="157">
        <f>SUM(O79:O115)</f>
        <v>0</v>
      </c>
      <c r="Q116" s="26"/>
      <c r="R116" s="157">
        <f>SUM(R79:R115)</f>
        <v>0</v>
      </c>
      <c r="T116" s="26"/>
      <c r="U116" s="157">
        <f>SUM(U79:U115)</f>
        <v>112</v>
      </c>
      <c r="W116" s="26"/>
      <c r="Y116" s="26"/>
      <c r="Z116" s="26"/>
      <c r="AB116" s="26"/>
    </row>
    <row r="117" spans="1:31" x14ac:dyDescent="0.25">
      <c r="E117" s="26"/>
      <c r="H117" s="26"/>
      <c r="K117" s="26"/>
      <c r="N117" s="26"/>
      <c r="Q117" s="26"/>
      <c r="T117" s="26"/>
      <c r="U117" s="8"/>
      <c r="W117" s="26"/>
      <c r="X117" s="173"/>
      <c r="Y117" s="26"/>
      <c r="Z117" s="26"/>
    </row>
    <row r="118" spans="1:31" ht="15.75" thickBot="1" x14ac:dyDescent="0.3">
      <c r="A118" s="26"/>
      <c r="U118" s="8"/>
      <c r="X118" s="173"/>
      <c r="Y118" s="26"/>
    </row>
    <row r="119" spans="1:31" x14ac:dyDescent="0.25">
      <c r="A119" s="171" t="s">
        <v>129</v>
      </c>
      <c r="U119" s="8"/>
      <c r="X119" s="173"/>
      <c r="Y119" s="26"/>
    </row>
    <row r="120" spans="1:31" x14ac:dyDescent="0.25">
      <c r="A120" s="169" t="s">
        <v>126</v>
      </c>
      <c r="U120" s="8"/>
      <c r="X120" s="173"/>
      <c r="Y120" s="26"/>
    </row>
    <row r="121" spans="1:31" x14ac:dyDescent="0.25">
      <c r="A121" s="169" t="s">
        <v>127</v>
      </c>
      <c r="U121" s="8"/>
      <c r="X121" s="173"/>
    </row>
    <row r="122" spans="1:31" ht="15.75" thickBot="1" x14ac:dyDescent="0.3">
      <c r="A122" s="170" t="s">
        <v>128</v>
      </c>
      <c r="X122" s="173"/>
    </row>
    <row r="123" spans="1:31" ht="15.75" thickBot="1" x14ac:dyDescent="0.3">
      <c r="X123" s="173"/>
    </row>
    <row r="124" spans="1:31" x14ac:dyDescent="0.25">
      <c r="A124" s="171" t="s">
        <v>187</v>
      </c>
      <c r="U124" s="8"/>
      <c r="X124" s="173"/>
      <c r="Y124" s="26"/>
    </row>
    <row r="125" spans="1:31" x14ac:dyDescent="0.25">
      <c r="A125" s="169" t="s">
        <v>188</v>
      </c>
      <c r="U125" s="8"/>
      <c r="X125" s="173"/>
    </row>
    <row r="126" spans="1:31" ht="15.75" thickBot="1" x14ac:dyDescent="0.3">
      <c r="A126" s="170"/>
      <c r="X126" s="173"/>
    </row>
    <row r="127" spans="1:31" x14ac:dyDescent="0.25">
      <c r="X127" s="173"/>
    </row>
    <row r="128" spans="1:31" x14ac:dyDescent="0.25">
      <c r="X128" s="173"/>
    </row>
  </sheetData>
  <pageMargins left="0.7" right="0.7" top="0.75" bottom="0.75" header="0.3" footer="0.3"/>
  <pageSetup paperSize="9" scale="94" fitToHeight="0"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AF147"/>
  <sheetViews>
    <sheetView workbookViewId="0">
      <selection activeCell="C1" sqref="C1:K1048576"/>
    </sheetView>
  </sheetViews>
  <sheetFormatPr defaultRowHeight="15" x14ac:dyDescent="0.25"/>
  <cols>
    <col min="1" max="1" width="42.42578125" customWidth="1"/>
    <col min="2" max="2" width="33.28515625" customWidth="1"/>
    <col min="3" max="3" width="8.85546875" style="1" hidden="1" customWidth="1"/>
    <col min="4" max="5" width="8.85546875" hidden="1" customWidth="1"/>
    <col min="6" max="6" width="8.85546875" style="1" hidden="1" customWidth="1"/>
    <col min="7" max="8" width="8.85546875" hidden="1" customWidth="1"/>
    <col min="9" max="9" width="8.85546875" style="1" hidden="1" customWidth="1"/>
    <col min="10" max="11" width="8.85546875" hidden="1" customWidth="1"/>
    <col min="12" max="12" width="8.85546875" style="1"/>
    <col min="15" max="15" width="8.85546875" style="1"/>
    <col min="18" max="18" width="8.85546875" style="1"/>
    <col min="21" max="21" width="10.140625" customWidth="1"/>
    <col min="25" max="25" width="33.7109375" customWidth="1"/>
  </cols>
  <sheetData>
    <row r="1" spans="1:32" ht="15.75" thickBot="1" x14ac:dyDescent="0.3">
      <c r="A1" s="174" t="s">
        <v>27</v>
      </c>
      <c r="B1" s="174" t="s">
        <v>168</v>
      </c>
      <c r="C1" s="175"/>
      <c r="D1" s="175"/>
      <c r="E1" s="175"/>
      <c r="F1" s="175"/>
      <c r="G1" s="175"/>
      <c r="H1" s="175"/>
      <c r="I1" s="175"/>
      <c r="J1" s="175"/>
      <c r="K1" s="175"/>
      <c r="L1" s="175"/>
      <c r="M1" s="175"/>
      <c r="N1" s="175"/>
      <c r="O1" s="175"/>
      <c r="P1" s="175"/>
      <c r="Q1" s="175"/>
      <c r="R1" s="175"/>
      <c r="S1" s="175"/>
      <c r="T1" s="175"/>
      <c r="U1" s="176"/>
      <c r="AD1" s="74"/>
      <c r="AE1" s="8"/>
    </row>
    <row r="2" spans="1:32" ht="30.75" thickBot="1" x14ac:dyDescent="0.3">
      <c r="A2" s="198" t="s">
        <v>77</v>
      </c>
      <c r="B2" s="198"/>
      <c r="C2" s="200" t="s">
        <v>211</v>
      </c>
      <c r="D2" s="206"/>
      <c r="E2" s="206"/>
      <c r="F2" s="200" t="s">
        <v>212</v>
      </c>
      <c r="G2" s="206"/>
      <c r="H2" s="206"/>
      <c r="I2" s="200" t="s">
        <v>213</v>
      </c>
      <c r="J2" s="206"/>
      <c r="K2" s="206"/>
      <c r="L2" s="200" t="s">
        <v>228</v>
      </c>
      <c r="M2" s="206"/>
      <c r="N2" s="206"/>
      <c r="O2" s="200" t="s">
        <v>229</v>
      </c>
      <c r="P2" s="206"/>
      <c r="Q2" s="206"/>
      <c r="R2" s="200" t="s">
        <v>230</v>
      </c>
      <c r="S2" s="206"/>
      <c r="T2" s="206"/>
      <c r="U2" s="209" t="s">
        <v>215</v>
      </c>
      <c r="Z2" s="90"/>
      <c r="AD2" s="74"/>
      <c r="AE2" s="8"/>
      <c r="AF2" s="26"/>
    </row>
    <row r="3" spans="1:32" x14ac:dyDescent="0.25">
      <c r="A3" s="179" t="s">
        <v>12</v>
      </c>
      <c r="B3" s="179"/>
      <c r="C3" s="180">
        <v>0</v>
      </c>
      <c r="D3" s="26"/>
      <c r="E3" s="26"/>
      <c r="F3" s="180">
        <v>0</v>
      </c>
      <c r="G3" s="26"/>
      <c r="H3" s="26"/>
      <c r="I3" s="180">
        <v>0</v>
      </c>
      <c r="J3" s="26"/>
      <c r="K3" s="26"/>
      <c r="L3" s="180">
        <v>0</v>
      </c>
      <c r="M3" s="26"/>
      <c r="N3" s="26"/>
      <c r="O3" s="180">
        <v>0</v>
      </c>
      <c r="P3" s="26"/>
      <c r="Q3" s="26"/>
      <c r="R3" s="180">
        <v>0</v>
      </c>
      <c r="S3" s="26"/>
      <c r="T3" s="26"/>
      <c r="U3" s="181">
        <f>C3+F3+I3+L3+O3+R3</f>
        <v>0</v>
      </c>
      <c r="V3" s="26"/>
      <c r="W3" s="26"/>
      <c r="X3" s="26"/>
      <c r="Y3" s="26"/>
      <c r="Z3" s="58"/>
      <c r="AA3" s="26"/>
      <c r="AC3" s="6"/>
      <c r="AF3" s="26"/>
    </row>
    <row r="4" spans="1:32" x14ac:dyDescent="0.25">
      <c r="A4" s="39" t="s">
        <v>49</v>
      </c>
      <c r="B4" s="39"/>
      <c r="C4" s="163">
        <v>0</v>
      </c>
      <c r="F4" s="163">
        <v>0</v>
      </c>
      <c r="I4" s="163">
        <v>0</v>
      </c>
      <c r="L4" s="163">
        <v>0</v>
      </c>
      <c r="O4" s="163">
        <v>0</v>
      </c>
      <c r="R4" s="163">
        <v>0</v>
      </c>
      <c r="U4" s="181">
        <f t="shared" ref="U4:U8" si="0">C4+F4+I4+L4+O4+R4</f>
        <v>0</v>
      </c>
      <c r="Y4" s="26"/>
      <c r="Z4" s="58"/>
      <c r="AE4" s="8"/>
    </row>
    <row r="5" spans="1:32" x14ac:dyDescent="0.25">
      <c r="A5" s="39" t="s">
        <v>181</v>
      </c>
      <c r="B5" s="39"/>
      <c r="C5" s="163">
        <v>0</v>
      </c>
      <c r="F5" s="163">
        <v>0</v>
      </c>
      <c r="I5" s="163">
        <v>0</v>
      </c>
      <c r="L5" s="163">
        <v>0</v>
      </c>
      <c r="O5" s="163">
        <v>0</v>
      </c>
      <c r="R5" s="163">
        <v>0</v>
      </c>
      <c r="U5" s="181">
        <f t="shared" si="0"/>
        <v>0</v>
      </c>
      <c r="Y5" s="26"/>
      <c r="Z5" s="58"/>
      <c r="AE5" s="8"/>
      <c r="AF5" s="26"/>
    </row>
    <row r="6" spans="1:32" x14ac:dyDescent="0.25">
      <c r="A6" s="39" t="s">
        <v>48</v>
      </c>
      <c r="B6" s="39"/>
      <c r="C6" s="163">
        <v>0</v>
      </c>
      <c r="F6" s="163">
        <v>0</v>
      </c>
      <c r="I6" s="163">
        <v>0</v>
      </c>
      <c r="L6" s="163">
        <v>0</v>
      </c>
      <c r="O6" s="163">
        <v>0</v>
      </c>
      <c r="R6" s="163">
        <v>0</v>
      </c>
      <c r="U6" s="181">
        <f t="shared" si="0"/>
        <v>0</v>
      </c>
      <c r="Y6" s="26"/>
      <c r="Z6" s="58"/>
      <c r="AE6" s="8"/>
    </row>
    <row r="7" spans="1:32" x14ac:dyDescent="0.25">
      <c r="A7" s="39" t="s">
        <v>48</v>
      </c>
      <c r="B7" s="39"/>
      <c r="C7" s="164">
        <v>0</v>
      </c>
      <c r="F7" s="164">
        <v>0</v>
      </c>
      <c r="I7" s="164">
        <v>0</v>
      </c>
      <c r="L7" s="164">
        <v>0</v>
      </c>
      <c r="O7" s="164">
        <v>0</v>
      </c>
      <c r="R7" s="164">
        <v>0</v>
      </c>
      <c r="U7" s="181">
        <f t="shared" si="0"/>
        <v>0</v>
      </c>
      <c r="Z7" s="58"/>
    </row>
    <row r="8" spans="1:32" x14ac:dyDescent="0.25">
      <c r="A8" s="39" t="s">
        <v>50</v>
      </c>
      <c r="B8" s="39"/>
      <c r="C8" s="164">
        <v>0</v>
      </c>
      <c r="D8" s="92" t="s">
        <v>84</v>
      </c>
      <c r="E8" s="92" t="s">
        <v>85</v>
      </c>
      <c r="F8" s="164">
        <v>0</v>
      </c>
      <c r="G8" s="92" t="s">
        <v>84</v>
      </c>
      <c r="H8" s="92" t="s">
        <v>85</v>
      </c>
      <c r="I8" s="164">
        <v>0</v>
      </c>
      <c r="J8" s="92" t="s">
        <v>84</v>
      </c>
      <c r="K8" s="92" t="s">
        <v>85</v>
      </c>
      <c r="L8" s="164">
        <v>0</v>
      </c>
      <c r="M8" s="92" t="s">
        <v>84</v>
      </c>
      <c r="N8" s="92" t="s">
        <v>85</v>
      </c>
      <c r="O8" s="164">
        <v>0</v>
      </c>
      <c r="P8" s="92" t="s">
        <v>84</v>
      </c>
      <c r="Q8" s="92" t="s">
        <v>85</v>
      </c>
      <c r="R8" s="164">
        <v>0</v>
      </c>
      <c r="S8" s="92" t="s">
        <v>84</v>
      </c>
      <c r="T8" s="92" t="s">
        <v>85</v>
      </c>
      <c r="U8" s="181">
        <f t="shared" si="0"/>
        <v>0</v>
      </c>
      <c r="V8" s="208" t="s">
        <v>84</v>
      </c>
      <c r="W8" s="208" t="s">
        <v>85</v>
      </c>
      <c r="Z8" s="58"/>
    </row>
    <row r="9" spans="1:32" x14ac:dyDescent="0.25">
      <c r="A9" s="89" t="s">
        <v>53</v>
      </c>
      <c r="B9" s="160"/>
      <c r="C9" s="159">
        <f>SUM(C3:C8)</f>
        <v>0</v>
      </c>
      <c r="D9" s="157">
        <f>C4+C5+C6+C7+C8</f>
        <v>0</v>
      </c>
      <c r="E9" s="157">
        <f>C9-D9</f>
        <v>0</v>
      </c>
      <c r="F9" s="159">
        <f>SUM(F3:F8)</f>
        <v>0</v>
      </c>
      <c r="G9" s="157">
        <f>F4+F5+F6+F7+F8</f>
        <v>0</v>
      </c>
      <c r="H9" s="157">
        <f>F9-G9</f>
        <v>0</v>
      </c>
      <c r="I9" s="159">
        <f>SUM(I3:I8)</f>
        <v>0</v>
      </c>
      <c r="J9" s="157">
        <f>I4+I5+I6+I7+I8</f>
        <v>0</v>
      </c>
      <c r="K9" s="157">
        <f>I9-J9</f>
        <v>0</v>
      </c>
      <c r="L9" s="159">
        <f>SUM(L3:L8)</f>
        <v>0</v>
      </c>
      <c r="M9" s="157">
        <f>L4+L5+L6+L7+L8</f>
        <v>0</v>
      </c>
      <c r="N9" s="157">
        <f>L9-M9</f>
        <v>0</v>
      </c>
      <c r="O9" s="159">
        <f>SUM(O3:O8)</f>
        <v>0</v>
      </c>
      <c r="P9" s="157">
        <f>O4+O5+O6+O7+O8</f>
        <v>0</v>
      </c>
      <c r="Q9" s="157">
        <f>O9-P9</f>
        <v>0</v>
      </c>
      <c r="R9" s="159">
        <f>SUM(R3:R8)</f>
        <v>0</v>
      </c>
      <c r="S9" s="157">
        <f>R4+R5+R6+R7+R8</f>
        <v>0</v>
      </c>
      <c r="T9" s="157">
        <f>R9-S9</f>
        <v>0</v>
      </c>
      <c r="U9" s="159">
        <f>SUM(U3:U8)</f>
        <v>0</v>
      </c>
      <c r="V9" s="157">
        <f>U4+U5+U6+U7+U8</f>
        <v>0</v>
      </c>
      <c r="W9" s="157">
        <f>U9-V9</f>
        <v>0</v>
      </c>
      <c r="Z9" s="91"/>
    </row>
    <row r="10" spans="1:32" x14ac:dyDescent="0.25">
      <c r="A10" s="89"/>
      <c r="B10" s="39"/>
      <c r="U10" s="26"/>
      <c r="Z10" s="91"/>
    </row>
    <row r="11" spans="1:32" ht="15.75" thickBot="1" x14ac:dyDescent="0.3">
      <c r="A11" s="201"/>
      <c r="B11" s="203"/>
      <c r="U11" s="26"/>
      <c r="Z11" s="91"/>
    </row>
    <row r="12" spans="1:32" ht="30.75" thickBot="1" x14ac:dyDescent="0.3">
      <c r="A12" s="198" t="s">
        <v>1</v>
      </c>
      <c r="B12" s="198"/>
      <c r="C12" s="200" t="s">
        <v>211</v>
      </c>
      <c r="D12" s="206"/>
      <c r="E12" s="206"/>
      <c r="F12" s="200" t="s">
        <v>212</v>
      </c>
      <c r="G12" s="206"/>
      <c r="H12" s="206"/>
      <c r="I12" s="200" t="s">
        <v>213</v>
      </c>
      <c r="J12" s="206"/>
      <c r="K12" s="206"/>
      <c r="L12" s="200" t="s">
        <v>228</v>
      </c>
      <c r="M12" s="206"/>
      <c r="N12" s="206"/>
      <c r="O12" s="200" t="s">
        <v>229</v>
      </c>
      <c r="P12" s="206"/>
      <c r="Q12" s="206"/>
      <c r="R12" s="200" t="s">
        <v>230</v>
      </c>
      <c r="S12" s="206"/>
      <c r="T12" s="206"/>
      <c r="U12" s="209" t="s">
        <v>215</v>
      </c>
      <c r="Z12" s="90"/>
      <c r="AE12" s="8"/>
      <c r="AF12" s="26"/>
    </row>
    <row r="13" spans="1:32" x14ac:dyDescent="0.25">
      <c r="A13" s="179" t="s">
        <v>12</v>
      </c>
      <c r="B13" s="179" t="s">
        <v>123</v>
      </c>
      <c r="C13" s="163">
        <v>0</v>
      </c>
      <c r="D13" s="26"/>
      <c r="E13" s="26"/>
      <c r="F13" s="163">
        <v>0</v>
      </c>
      <c r="G13" s="26"/>
      <c r="H13" s="26"/>
      <c r="I13" s="163">
        <v>0</v>
      </c>
      <c r="J13" s="26"/>
      <c r="K13" s="26"/>
      <c r="L13" s="163">
        <v>0</v>
      </c>
      <c r="M13" s="26"/>
      <c r="N13" s="26"/>
      <c r="O13" s="163">
        <v>0</v>
      </c>
      <c r="P13" s="26"/>
      <c r="Q13" s="26"/>
      <c r="R13" s="163">
        <v>0</v>
      </c>
      <c r="S13" s="26"/>
      <c r="T13" s="26"/>
      <c r="U13" s="181">
        <f t="shared" ref="U13:U18" si="1">C13+F13+I13+L13+O13+R13</f>
        <v>0</v>
      </c>
      <c r="V13" s="26"/>
      <c r="W13" s="26"/>
      <c r="X13" s="26"/>
      <c r="Y13" s="26"/>
      <c r="Z13" s="58"/>
      <c r="AA13" s="26"/>
      <c r="AC13" s="6"/>
      <c r="AD13" s="74"/>
      <c r="AF13" s="26"/>
    </row>
    <row r="14" spans="1:32" x14ac:dyDescent="0.25">
      <c r="A14" s="39" t="s">
        <v>49</v>
      </c>
      <c r="B14" s="39" t="s">
        <v>174</v>
      </c>
      <c r="C14" s="163">
        <v>1</v>
      </c>
      <c r="F14" s="163">
        <v>0</v>
      </c>
      <c r="I14" s="163">
        <v>0</v>
      </c>
      <c r="L14" s="163">
        <v>0</v>
      </c>
      <c r="O14" s="163">
        <v>0</v>
      </c>
      <c r="R14" s="163">
        <v>0</v>
      </c>
      <c r="U14" s="181">
        <f t="shared" si="1"/>
        <v>1</v>
      </c>
      <c r="Y14" s="26"/>
      <c r="Z14" s="58"/>
      <c r="AD14" s="74"/>
      <c r="AE14" s="8"/>
    </row>
    <row r="15" spans="1:32" x14ac:dyDescent="0.25">
      <c r="A15" s="39" t="s">
        <v>181</v>
      </c>
      <c r="B15" s="39" t="s">
        <v>174</v>
      </c>
      <c r="C15" s="163">
        <v>1</v>
      </c>
      <c r="F15" s="163">
        <v>0</v>
      </c>
      <c r="I15" s="163">
        <v>0</v>
      </c>
      <c r="L15" s="163">
        <v>0</v>
      </c>
      <c r="O15" s="163">
        <v>0</v>
      </c>
      <c r="R15" s="163">
        <v>0</v>
      </c>
      <c r="U15" s="181">
        <f t="shared" si="1"/>
        <v>1</v>
      </c>
      <c r="Y15" s="26"/>
      <c r="Z15" s="58"/>
      <c r="AD15" s="74"/>
      <c r="AE15" s="8"/>
      <c r="AF15" s="26"/>
    </row>
    <row r="16" spans="1:32" x14ac:dyDescent="0.25">
      <c r="A16" s="39" t="s">
        <v>48</v>
      </c>
      <c r="B16" s="39" t="s">
        <v>121</v>
      </c>
      <c r="C16" s="163">
        <v>0</v>
      </c>
      <c r="F16" s="163">
        <v>0</v>
      </c>
      <c r="I16" s="163">
        <v>0</v>
      </c>
      <c r="L16" s="163">
        <v>0</v>
      </c>
      <c r="O16" s="163">
        <v>0</v>
      </c>
      <c r="R16" s="163">
        <v>0</v>
      </c>
      <c r="U16" s="181">
        <f t="shared" si="1"/>
        <v>0</v>
      </c>
      <c r="Y16" s="26"/>
      <c r="Z16" s="58"/>
      <c r="AE16" s="8"/>
    </row>
    <row r="17" spans="1:31" x14ac:dyDescent="0.25">
      <c r="A17" s="39" t="s">
        <v>48</v>
      </c>
      <c r="B17" s="39" t="s">
        <v>1</v>
      </c>
      <c r="C17" s="163">
        <v>0</v>
      </c>
      <c r="F17" s="163">
        <v>0</v>
      </c>
      <c r="I17" s="163">
        <v>0</v>
      </c>
      <c r="L17" s="163">
        <v>0</v>
      </c>
      <c r="O17" s="163">
        <v>0</v>
      </c>
      <c r="R17" s="163">
        <v>0</v>
      </c>
      <c r="U17" s="181">
        <f t="shared" si="1"/>
        <v>0</v>
      </c>
      <c r="Z17" s="58"/>
    </row>
    <row r="18" spans="1:31" x14ac:dyDescent="0.25">
      <c r="A18" s="39" t="s">
        <v>50</v>
      </c>
      <c r="B18" s="39" t="s">
        <v>121</v>
      </c>
      <c r="C18" s="163">
        <v>0</v>
      </c>
      <c r="D18" s="92" t="s">
        <v>84</v>
      </c>
      <c r="E18" s="92" t="s">
        <v>85</v>
      </c>
      <c r="F18" s="163">
        <v>0</v>
      </c>
      <c r="G18" s="92" t="s">
        <v>84</v>
      </c>
      <c r="H18" s="92" t="s">
        <v>85</v>
      </c>
      <c r="I18" s="163">
        <v>0</v>
      </c>
      <c r="J18" s="92" t="s">
        <v>84</v>
      </c>
      <c r="K18" s="92" t="s">
        <v>85</v>
      </c>
      <c r="L18" s="163">
        <v>0</v>
      </c>
      <c r="M18" s="92" t="s">
        <v>84</v>
      </c>
      <c r="N18" s="92" t="s">
        <v>85</v>
      </c>
      <c r="O18" s="163">
        <v>0</v>
      </c>
      <c r="P18" s="92" t="s">
        <v>84</v>
      </c>
      <c r="Q18" s="92" t="s">
        <v>85</v>
      </c>
      <c r="R18" s="163">
        <v>0</v>
      </c>
      <c r="S18" s="92" t="s">
        <v>84</v>
      </c>
      <c r="T18" s="92" t="s">
        <v>85</v>
      </c>
      <c r="U18" s="181">
        <f t="shared" si="1"/>
        <v>0</v>
      </c>
      <c r="V18" s="208" t="s">
        <v>84</v>
      </c>
      <c r="W18" s="208" t="s">
        <v>85</v>
      </c>
      <c r="Z18" s="58"/>
    </row>
    <row r="19" spans="1:31" x14ac:dyDescent="0.25">
      <c r="A19" s="89" t="s">
        <v>53</v>
      </c>
      <c r="B19" s="160"/>
      <c r="C19" s="159">
        <f>SUM(C13:C18)</f>
        <v>2</v>
      </c>
      <c r="D19" s="157">
        <f>C14+C15+C16+C17+C18</f>
        <v>2</v>
      </c>
      <c r="E19" s="157">
        <f>C19-D19</f>
        <v>0</v>
      </c>
      <c r="F19" s="159">
        <f>SUM(F13:F18)</f>
        <v>0</v>
      </c>
      <c r="G19" s="157">
        <f>F14+F15+F16+F17+F18</f>
        <v>0</v>
      </c>
      <c r="H19" s="157">
        <f>F19-G19</f>
        <v>0</v>
      </c>
      <c r="I19" s="159">
        <f>SUM(I13:I18)</f>
        <v>0</v>
      </c>
      <c r="J19" s="157">
        <f>I14+I15+I16+I17+I18</f>
        <v>0</v>
      </c>
      <c r="K19" s="157">
        <f>I19-J19</f>
        <v>0</v>
      </c>
      <c r="L19" s="159">
        <f>SUM(L13:L18)</f>
        <v>0</v>
      </c>
      <c r="M19" s="157">
        <f>L14+L15+L16+L17+L18</f>
        <v>0</v>
      </c>
      <c r="N19" s="157">
        <f>L19-M19</f>
        <v>0</v>
      </c>
      <c r="O19" s="159">
        <f>SUM(O13:O18)</f>
        <v>0</v>
      </c>
      <c r="P19" s="157">
        <f>O14+O15+O16+O17+O18</f>
        <v>0</v>
      </c>
      <c r="Q19" s="157">
        <f>O19-P19</f>
        <v>0</v>
      </c>
      <c r="R19" s="159">
        <f>SUM(R13:R18)</f>
        <v>0</v>
      </c>
      <c r="S19" s="157">
        <f>R14+R15+R16+R17+R18</f>
        <v>0</v>
      </c>
      <c r="T19" s="157">
        <f>R19-S19</f>
        <v>0</v>
      </c>
      <c r="U19" s="159">
        <f>SUM(U13:U18)</f>
        <v>2</v>
      </c>
      <c r="V19" s="157">
        <f>U14+U15+U16+U17+U18</f>
        <v>2</v>
      </c>
      <c r="W19" s="157">
        <f>U19-V19</f>
        <v>0</v>
      </c>
      <c r="Z19" s="91"/>
    </row>
    <row r="20" spans="1:31" x14ac:dyDescent="0.25">
      <c r="A20" s="89"/>
      <c r="B20" s="39"/>
      <c r="U20" s="26"/>
      <c r="Z20" s="91"/>
    </row>
    <row r="21" spans="1:31" ht="15.75" thickBot="1" x14ac:dyDescent="0.3">
      <c r="A21" s="203"/>
      <c r="B21" s="203"/>
      <c r="C21"/>
      <c r="F21"/>
      <c r="I21"/>
      <c r="L21"/>
      <c r="O21"/>
      <c r="R21"/>
      <c r="Z21" s="91"/>
    </row>
    <row r="22" spans="1:31" ht="30.75" thickBot="1" x14ac:dyDescent="0.3">
      <c r="A22" s="205" t="s">
        <v>3</v>
      </c>
      <c r="B22" s="206"/>
      <c r="C22" s="200" t="s">
        <v>211</v>
      </c>
      <c r="D22" s="206"/>
      <c r="E22" s="206"/>
      <c r="F22" s="200" t="s">
        <v>212</v>
      </c>
      <c r="G22" s="206"/>
      <c r="H22" s="206"/>
      <c r="I22" s="200" t="s">
        <v>213</v>
      </c>
      <c r="J22" s="206"/>
      <c r="K22" s="206"/>
      <c r="L22" s="200" t="s">
        <v>228</v>
      </c>
      <c r="M22" s="206"/>
      <c r="N22" s="206"/>
      <c r="O22" s="200" t="s">
        <v>229</v>
      </c>
      <c r="P22" s="206"/>
      <c r="Q22" s="206"/>
      <c r="R22" s="200" t="s">
        <v>230</v>
      </c>
      <c r="S22" s="206"/>
      <c r="T22" s="206"/>
      <c r="U22" s="209" t="s">
        <v>215</v>
      </c>
      <c r="Z22" s="90"/>
    </row>
    <row r="23" spans="1:31" x14ac:dyDescent="0.25">
      <c r="A23" s="179" t="s">
        <v>184</v>
      </c>
      <c r="B23" s="179" t="s">
        <v>30</v>
      </c>
      <c r="C23" s="180">
        <v>0</v>
      </c>
      <c r="F23" s="180">
        <v>0</v>
      </c>
      <c r="I23" s="180">
        <v>0</v>
      </c>
      <c r="L23" s="180">
        <v>8</v>
      </c>
      <c r="O23" s="180">
        <v>0</v>
      </c>
      <c r="R23" s="180">
        <v>0</v>
      </c>
      <c r="U23" s="181">
        <f t="shared" ref="U23:U25" si="2">C23+F23+I23+L23+O23+R23</f>
        <v>8</v>
      </c>
      <c r="Z23" s="58"/>
      <c r="AE23" s="8"/>
    </row>
    <row r="24" spans="1:31" x14ac:dyDescent="0.25">
      <c r="A24" s="39" t="s">
        <v>234</v>
      </c>
      <c r="B24" s="39" t="s">
        <v>30</v>
      </c>
      <c r="C24" s="162">
        <v>0</v>
      </c>
      <c r="F24" s="162">
        <v>0</v>
      </c>
      <c r="I24" s="162">
        <v>0</v>
      </c>
      <c r="L24" s="162">
        <v>0</v>
      </c>
      <c r="O24" s="162">
        <v>0</v>
      </c>
      <c r="R24" s="162">
        <v>0</v>
      </c>
      <c r="U24" s="181">
        <f t="shared" si="2"/>
        <v>0</v>
      </c>
      <c r="Z24" s="58"/>
    </row>
    <row r="25" spans="1:31" x14ac:dyDescent="0.25">
      <c r="A25" s="39" t="s">
        <v>234</v>
      </c>
      <c r="B25" s="39" t="s">
        <v>30</v>
      </c>
      <c r="C25" s="162">
        <v>0</v>
      </c>
      <c r="D25" s="92" t="s">
        <v>84</v>
      </c>
      <c r="E25" s="92" t="s">
        <v>85</v>
      </c>
      <c r="F25" s="162">
        <v>0</v>
      </c>
      <c r="G25" s="92" t="s">
        <v>84</v>
      </c>
      <c r="H25" s="92" t="s">
        <v>85</v>
      </c>
      <c r="I25" s="162">
        <v>0</v>
      </c>
      <c r="J25" s="92" t="s">
        <v>84</v>
      </c>
      <c r="K25" s="92" t="s">
        <v>85</v>
      </c>
      <c r="L25" s="162">
        <v>0</v>
      </c>
      <c r="M25" s="92" t="s">
        <v>84</v>
      </c>
      <c r="N25" s="92" t="s">
        <v>85</v>
      </c>
      <c r="O25" s="162">
        <v>0</v>
      </c>
      <c r="P25" s="92" t="s">
        <v>84</v>
      </c>
      <c r="Q25" s="92" t="s">
        <v>85</v>
      </c>
      <c r="R25" s="162">
        <v>0</v>
      </c>
      <c r="S25" s="92" t="s">
        <v>84</v>
      </c>
      <c r="T25" s="92" t="s">
        <v>85</v>
      </c>
      <c r="U25" s="181">
        <f t="shared" si="2"/>
        <v>0</v>
      </c>
      <c r="V25" s="208" t="s">
        <v>84</v>
      </c>
      <c r="W25" s="208" t="s">
        <v>85</v>
      </c>
      <c r="Z25" s="58"/>
    </row>
    <row r="26" spans="1:31" x14ac:dyDescent="0.25">
      <c r="A26" s="89" t="s">
        <v>53</v>
      </c>
      <c r="B26" s="160"/>
      <c r="C26" s="159">
        <f>SUM(C23:C25)</f>
        <v>0</v>
      </c>
      <c r="D26" s="157">
        <f>C23+C24+C25</f>
        <v>0</v>
      </c>
      <c r="E26" s="157">
        <f>C26-D26</f>
        <v>0</v>
      </c>
      <c r="F26" s="159">
        <f>SUM(F23:F25)</f>
        <v>0</v>
      </c>
      <c r="G26" s="157">
        <f>F23+F24+F25</f>
        <v>0</v>
      </c>
      <c r="H26" s="157">
        <f>F26-G26</f>
        <v>0</v>
      </c>
      <c r="I26" s="159">
        <f>SUM(I23:I25)</f>
        <v>0</v>
      </c>
      <c r="J26" s="157">
        <f>I23+I24+I25</f>
        <v>0</v>
      </c>
      <c r="K26" s="157">
        <f>I26-J26</f>
        <v>0</v>
      </c>
      <c r="L26" s="159">
        <f>SUM(L23:L25)</f>
        <v>8</v>
      </c>
      <c r="M26" s="157">
        <f>L23+L24+L25</f>
        <v>8</v>
      </c>
      <c r="N26" s="157">
        <f>L26-M26</f>
        <v>0</v>
      </c>
      <c r="O26" s="159">
        <f>SUM(O23:O25)</f>
        <v>0</v>
      </c>
      <c r="P26" s="157">
        <f>O23+O24+O25</f>
        <v>0</v>
      </c>
      <c r="Q26" s="157">
        <f>O26-P26</f>
        <v>0</v>
      </c>
      <c r="R26" s="159">
        <f>SUM(R23:R25)</f>
        <v>0</v>
      </c>
      <c r="S26" s="157">
        <f>R23+R24+R25</f>
        <v>0</v>
      </c>
      <c r="T26" s="157">
        <f>R26-S26</f>
        <v>0</v>
      </c>
      <c r="U26" s="159">
        <f>SUM(U23:U25)</f>
        <v>8</v>
      </c>
      <c r="V26" s="157">
        <f>U23+U24+U25</f>
        <v>8</v>
      </c>
      <c r="W26" s="157">
        <f>U26-V26</f>
        <v>0</v>
      </c>
      <c r="Z26" s="91"/>
    </row>
    <row r="27" spans="1:31" x14ac:dyDescent="0.25">
      <c r="A27" s="39"/>
      <c r="B27" s="39"/>
      <c r="E27" s="26"/>
      <c r="H27" s="26"/>
      <c r="K27" s="26"/>
      <c r="N27" s="26"/>
      <c r="Q27" s="26"/>
      <c r="T27" s="26"/>
      <c r="U27" s="26"/>
      <c r="W27" s="26"/>
      <c r="Z27" s="91"/>
    </row>
    <row r="28" spans="1:31" ht="15.75" thickBot="1" x14ac:dyDescent="0.3">
      <c r="A28" s="203"/>
      <c r="B28" s="203"/>
      <c r="E28" s="26"/>
      <c r="H28" s="26"/>
      <c r="K28" s="26"/>
      <c r="N28" s="26"/>
      <c r="Q28" s="26"/>
      <c r="T28" s="26"/>
      <c r="U28" s="26"/>
      <c r="W28" s="26"/>
      <c r="Z28" s="26"/>
    </row>
    <row r="29" spans="1:31" ht="30.75" thickBot="1" x14ac:dyDescent="0.3">
      <c r="A29" s="205" t="s">
        <v>33</v>
      </c>
      <c r="B29" s="206"/>
      <c r="C29" s="200" t="s">
        <v>211</v>
      </c>
      <c r="D29" s="206"/>
      <c r="E29" s="206"/>
      <c r="F29" s="200" t="s">
        <v>212</v>
      </c>
      <c r="G29" s="206"/>
      <c r="H29" s="206"/>
      <c r="I29" s="200" t="s">
        <v>213</v>
      </c>
      <c r="J29" s="206"/>
      <c r="K29" s="206"/>
      <c r="L29" s="200" t="s">
        <v>228</v>
      </c>
      <c r="M29" s="206"/>
      <c r="N29" s="206"/>
      <c r="O29" s="200" t="s">
        <v>229</v>
      </c>
      <c r="P29" s="206"/>
      <c r="Q29" s="206"/>
      <c r="R29" s="200" t="s">
        <v>229</v>
      </c>
      <c r="S29" s="206"/>
      <c r="T29" s="206"/>
      <c r="U29" s="209" t="s">
        <v>215</v>
      </c>
      <c r="W29" s="26"/>
      <c r="Z29" s="90"/>
      <c r="AE29" s="8"/>
    </row>
    <row r="30" spans="1:31" x14ac:dyDescent="0.25">
      <c r="A30" s="179" t="s">
        <v>11</v>
      </c>
      <c r="B30" s="179" t="s">
        <v>179</v>
      </c>
      <c r="C30" s="163">
        <v>0</v>
      </c>
      <c r="E30" s="26"/>
      <c r="F30" s="180">
        <v>0</v>
      </c>
      <c r="H30" s="26"/>
      <c r="I30" s="180">
        <v>0</v>
      </c>
      <c r="K30" s="26"/>
      <c r="L30" s="180">
        <v>0</v>
      </c>
      <c r="N30" s="26"/>
      <c r="O30" s="180">
        <v>0</v>
      </c>
      <c r="Q30" s="26"/>
      <c r="R30" s="180">
        <v>0</v>
      </c>
      <c r="T30" s="26"/>
      <c r="U30" s="181">
        <f t="shared" ref="U30:U49" si="3">C30+F30+I30+L30+O30+R30</f>
        <v>0</v>
      </c>
      <c r="W30" s="26"/>
      <c r="X30" s="26"/>
      <c r="Y30" s="74"/>
      <c r="Z30" s="58"/>
      <c r="AA30" s="26"/>
      <c r="AC30" s="6"/>
    </row>
    <row r="31" spans="1:31" x14ac:dyDescent="0.25">
      <c r="A31" s="39" t="s">
        <v>12</v>
      </c>
      <c r="B31" s="39" t="s">
        <v>179</v>
      </c>
      <c r="C31" s="163">
        <v>0</v>
      </c>
      <c r="D31" s="26"/>
      <c r="E31" s="26"/>
      <c r="F31" s="162">
        <v>0</v>
      </c>
      <c r="G31" s="26"/>
      <c r="H31" s="26"/>
      <c r="I31" s="162">
        <v>0</v>
      </c>
      <c r="J31" s="26"/>
      <c r="K31" s="26"/>
      <c r="L31" s="162">
        <v>0</v>
      </c>
      <c r="M31" s="26"/>
      <c r="N31" s="26"/>
      <c r="O31" s="162">
        <v>0</v>
      </c>
      <c r="P31" s="26"/>
      <c r="Q31" s="26"/>
      <c r="R31" s="162">
        <v>0</v>
      </c>
      <c r="S31" s="26"/>
      <c r="T31" s="26"/>
      <c r="U31" s="181">
        <f t="shared" si="3"/>
        <v>0</v>
      </c>
      <c r="V31" s="26"/>
      <c r="W31" s="26"/>
      <c r="X31" s="26"/>
      <c r="Y31" s="74"/>
      <c r="Z31" s="58"/>
      <c r="AA31" s="26"/>
      <c r="AC31" s="6"/>
    </row>
    <row r="32" spans="1:31" x14ac:dyDescent="0.25">
      <c r="A32" s="39" t="s">
        <v>10</v>
      </c>
      <c r="B32" s="39" t="s">
        <v>7</v>
      </c>
      <c r="C32" s="163">
        <v>0</v>
      </c>
      <c r="D32" s="26"/>
      <c r="E32" s="26"/>
      <c r="F32" s="162">
        <v>0</v>
      </c>
      <c r="G32" s="26"/>
      <c r="H32" s="26"/>
      <c r="I32" s="162">
        <v>0</v>
      </c>
      <c r="J32" s="26"/>
      <c r="K32" s="26"/>
      <c r="L32" s="162">
        <v>0</v>
      </c>
      <c r="M32" s="26"/>
      <c r="N32" s="26"/>
      <c r="O32" s="162">
        <v>0</v>
      </c>
      <c r="P32" s="26"/>
      <c r="Q32" s="26"/>
      <c r="R32" s="162">
        <v>0</v>
      </c>
      <c r="S32" s="26"/>
      <c r="T32" s="26"/>
      <c r="U32" s="181">
        <f t="shared" si="3"/>
        <v>0</v>
      </c>
      <c r="V32" s="26"/>
      <c r="W32" s="26"/>
      <c r="X32" s="26"/>
      <c r="Y32" s="74"/>
      <c r="Z32" s="58"/>
      <c r="AA32" s="26"/>
      <c r="AC32" s="6"/>
    </row>
    <row r="33" spans="1:31" x14ac:dyDescent="0.25">
      <c r="A33" s="39" t="s">
        <v>66</v>
      </c>
      <c r="B33" s="39" t="s">
        <v>7</v>
      </c>
      <c r="C33" s="163">
        <v>0</v>
      </c>
      <c r="D33" s="26"/>
      <c r="E33" s="26"/>
      <c r="F33" s="162">
        <v>0</v>
      </c>
      <c r="G33" s="26"/>
      <c r="H33" s="26"/>
      <c r="I33" s="162">
        <v>0</v>
      </c>
      <c r="J33" s="26"/>
      <c r="K33" s="26"/>
      <c r="L33" s="162">
        <v>0</v>
      </c>
      <c r="M33" s="26"/>
      <c r="N33" s="26"/>
      <c r="O33" s="162">
        <v>0</v>
      </c>
      <c r="P33" s="26"/>
      <c r="Q33" s="26"/>
      <c r="R33" s="162">
        <v>0</v>
      </c>
      <c r="S33" s="26"/>
      <c r="T33" s="26"/>
      <c r="U33" s="181">
        <f t="shared" si="3"/>
        <v>0</v>
      </c>
      <c r="V33" s="26"/>
      <c r="W33" s="26"/>
      <c r="X33" s="26"/>
      <c r="Y33" s="74"/>
      <c r="Z33" s="58"/>
      <c r="AA33" s="26"/>
      <c r="AC33" s="6"/>
    </row>
    <row r="34" spans="1:31" x14ac:dyDescent="0.25">
      <c r="A34" s="39" t="s">
        <v>13</v>
      </c>
      <c r="B34" s="39" t="s">
        <v>179</v>
      </c>
      <c r="C34" s="163">
        <v>0</v>
      </c>
      <c r="D34" s="26"/>
      <c r="E34" s="26"/>
      <c r="F34" s="162">
        <v>0</v>
      </c>
      <c r="G34" s="26"/>
      <c r="H34" s="26"/>
      <c r="I34" s="162">
        <v>0</v>
      </c>
      <c r="J34" s="26"/>
      <c r="K34" s="26"/>
      <c r="L34" s="162">
        <v>0</v>
      </c>
      <c r="M34" s="26"/>
      <c r="N34" s="26"/>
      <c r="O34" s="162">
        <v>0</v>
      </c>
      <c r="P34" s="26"/>
      <c r="Q34" s="26"/>
      <c r="R34" s="162">
        <v>0</v>
      </c>
      <c r="S34" s="26"/>
      <c r="T34" s="26"/>
      <c r="U34" s="181">
        <f t="shared" si="3"/>
        <v>0</v>
      </c>
      <c r="V34" s="26"/>
      <c r="W34" s="26"/>
      <c r="X34" s="26"/>
      <c r="Z34" s="58"/>
      <c r="AA34" s="26"/>
      <c r="AC34" s="6"/>
    </row>
    <row r="35" spans="1:31" x14ac:dyDescent="0.25">
      <c r="A35" s="39" t="s">
        <v>9</v>
      </c>
      <c r="B35" s="39" t="s">
        <v>7</v>
      </c>
      <c r="C35" s="163">
        <v>0</v>
      </c>
      <c r="D35" s="26"/>
      <c r="E35" s="26"/>
      <c r="F35" s="162">
        <v>4</v>
      </c>
      <c r="G35" s="26"/>
      <c r="H35" s="26"/>
      <c r="I35" s="162">
        <v>0</v>
      </c>
      <c r="J35" s="26"/>
      <c r="K35" s="26"/>
      <c r="L35" s="162">
        <v>0</v>
      </c>
      <c r="M35" s="26"/>
      <c r="N35" s="26"/>
      <c r="O35" s="162">
        <v>0</v>
      </c>
      <c r="P35" s="26"/>
      <c r="Q35" s="26"/>
      <c r="R35" s="162">
        <v>0</v>
      </c>
      <c r="S35" s="26"/>
      <c r="T35" s="26"/>
      <c r="U35" s="181">
        <f t="shared" si="3"/>
        <v>4</v>
      </c>
      <c r="V35" s="26"/>
      <c r="W35" s="26"/>
      <c r="X35" s="26"/>
      <c r="Z35" s="58"/>
      <c r="AA35" s="26"/>
      <c r="AC35" s="6"/>
      <c r="AE35" s="8"/>
    </row>
    <row r="36" spans="1:31" x14ac:dyDescent="0.25">
      <c r="A36" s="39" t="s">
        <v>9</v>
      </c>
      <c r="B36" s="39" t="s">
        <v>179</v>
      </c>
      <c r="C36" s="163">
        <v>0</v>
      </c>
      <c r="D36" s="26"/>
      <c r="E36" s="26"/>
      <c r="F36" s="162">
        <v>21</v>
      </c>
      <c r="G36" s="26"/>
      <c r="H36" s="26"/>
      <c r="I36" s="162">
        <v>0</v>
      </c>
      <c r="J36" s="26"/>
      <c r="K36" s="26"/>
      <c r="L36" s="162">
        <v>0</v>
      </c>
      <c r="M36" s="26"/>
      <c r="N36" s="26"/>
      <c r="O36" s="162">
        <v>0</v>
      </c>
      <c r="P36" s="26"/>
      <c r="Q36" s="26"/>
      <c r="R36" s="162">
        <v>0</v>
      </c>
      <c r="S36" s="26"/>
      <c r="T36" s="26"/>
      <c r="U36" s="181">
        <f t="shared" si="3"/>
        <v>21</v>
      </c>
      <c r="V36" s="26"/>
      <c r="W36" s="26"/>
      <c r="X36" s="26"/>
      <c r="Z36" s="58"/>
      <c r="AA36" s="26"/>
      <c r="AC36" s="6"/>
      <c r="AE36" s="8"/>
    </row>
    <row r="37" spans="1:31" x14ac:dyDescent="0.25">
      <c r="A37" s="39" t="s">
        <v>9</v>
      </c>
      <c r="B37" s="39" t="s">
        <v>178</v>
      </c>
      <c r="C37" s="163">
        <v>0</v>
      </c>
      <c r="D37" s="26"/>
      <c r="E37" s="26"/>
      <c r="F37" s="162">
        <v>0</v>
      </c>
      <c r="G37" s="26"/>
      <c r="H37" s="26"/>
      <c r="I37" s="162">
        <v>0</v>
      </c>
      <c r="J37" s="26"/>
      <c r="K37" s="26"/>
      <c r="L37" s="162">
        <v>0</v>
      </c>
      <c r="M37" s="26"/>
      <c r="N37" s="26"/>
      <c r="O37" s="162">
        <v>0</v>
      </c>
      <c r="P37" s="26"/>
      <c r="Q37" s="26"/>
      <c r="R37" s="162">
        <v>0</v>
      </c>
      <c r="S37" s="26"/>
      <c r="T37" s="26"/>
      <c r="U37" s="181">
        <f t="shared" si="3"/>
        <v>0</v>
      </c>
      <c r="V37" s="26"/>
      <c r="W37" s="26"/>
      <c r="X37" s="26"/>
      <c r="Z37" s="58"/>
      <c r="AA37" s="26"/>
      <c r="AC37" s="6"/>
      <c r="AE37" s="8"/>
    </row>
    <row r="38" spans="1:31" x14ac:dyDescent="0.25">
      <c r="A38" s="39" t="s">
        <v>14</v>
      </c>
      <c r="B38" s="39" t="s">
        <v>7</v>
      </c>
      <c r="C38" s="163">
        <v>0</v>
      </c>
      <c r="D38" s="26"/>
      <c r="E38" s="26"/>
      <c r="F38" s="162">
        <v>0</v>
      </c>
      <c r="G38" s="26"/>
      <c r="H38" s="26"/>
      <c r="I38" s="162">
        <v>0</v>
      </c>
      <c r="J38" s="26"/>
      <c r="K38" s="26"/>
      <c r="L38" s="162">
        <v>0</v>
      </c>
      <c r="M38" s="26"/>
      <c r="N38" s="26"/>
      <c r="O38" s="162">
        <v>0</v>
      </c>
      <c r="P38" s="26"/>
      <c r="Q38" s="26"/>
      <c r="R38" s="162">
        <v>0</v>
      </c>
      <c r="S38" s="26"/>
      <c r="T38" s="26"/>
      <c r="U38" s="181">
        <f t="shared" si="3"/>
        <v>0</v>
      </c>
      <c r="V38" s="26"/>
      <c r="W38" s="26"/>
      <c r="X38" s="26"/>
      <c r="Z38" s="58"/>
      <c r="AA38" s="26"/>
      <c r="AC38" s="6"/>
    </row>
    <row r="39" spans="1:31" x14ac:dyDescent="0.25">
      <c r="A39" s="39" t="s">
        <v>29</v>
      </c>
      <c r="B39" s="39" t="s">
        <v>7</v>
      </c>
      <c r="C39" s="163">
        <v>0</v>
      </c>
      <c r="D39" s="26"/>
      <c r="E39" s="26"/>
      <c r="F39" s="162">
        <v>0</v>
      </c>
      <c r="G39" s="26"/>
      <c r="H39" s="26"/>
      <c r="I39" s="162">
        <v>0</v>
      </c>
      <c r="J39" s="26"/>
      <c r="K39" s="26"/>
      <c r="L39" s="162">
        <v>0</v>
      </c>
      <c r="M39" s="26"/>
      <c r="N39" s="26"/>
      <c r="O39" s="162">
        <v>0</v>
      </c>
      <c r="P39" s="26"/>
      <c r="Q39" s="26"/>
      <c r="R39" s="162">
        <v>0</v>
      </c>
      <c r="S39" s="26"/>
      <c r="T39" s="26"/>
      <c r="U39" s="181">
        <f t="shared" si="3"/>
        <v>0</v>
      </c>
      <c r="V39" s="26"/>
      <c r="W39" s="26"/>
      <c r="X39" s="26"/>
      <c r="Z39" s="58"/>
      <c r="AA39" s="26"/>
      <c r="AC39" s="6"/>
    </row>
    <row r="40" spans="1:31" x14ac:dyDescent="0.25">
      <c r="A40" s="39" t="s">
        <v>81</v>
      </c>
      <c r="B40" s="39" t="s">
        <v>33</v>
      </c>
      <c r="C40" s="163">
        <v>0</v>
      </c>
      <c r="D40" s="26"/>
      <c r="E40" s="26"/>
      <c r="F40" s="162">
        <v>0</v>
      </c>
      <c r="G40" s="26"/>
      <c r="H40" s="26"/>
      <c r="I40" s="162">
        <v>0</v>
      </c>
      <c r="J40" s="26"/>
      <c r="K40" s="26"/>
      <c r="L40" s="162">
        <v>0</v>
      </c>
      <c r="M40" s="26"/>
      <c r="N40" s="26"/>
      <c r="O40" s="162">
        <v>0</v>
      </c>
      <c r="P40" s="26"/>
      <c r="Q40" s="26"/>
      <c r="R40" s="162">
        <v>0</v>
      </c>
      <c r="S40" s="26"/>
      <c r="T40" s="26"/>
      <c r="U40" s="181">
        <f t="shared" si="3"/>
        <v>0</v>
      </c>
      <c r="V40" s="26"/>
      <c r="W40" s="26"/>
      <c r="X40" s="26"/>
      <c r="Z40" s="58"/>
      <c r="AA40" s="26"/>
      <c r="AC40" s="6"/>
    </row>
    <row r="41" spans="1:31" x14ac:dyDescent="0.25">
      <c r="A41" s="39" t="s">
        <v>42</v>
      </c>
      <c r="B41" s="39" t="s">
        <v>33</v>
      </c>
      <c r="C41" s="163">
        <v>0</v>
      </c>
      <c r="D41" s="26"/>
      <c r="E41" s="26"/>
      <c r="F41" s="162">
        <v>0</v>
      </c>
      <c r="G41" s="26"/>
      <c r="H41" s="26"/>
      <c r="I41" s="162">
        <v>0</v>
      </c>
      <c r="J41" s="26"/>
      <c r="K41" s="26"/>
      <c r="L41" s="162">
        <v>0</v>
      </c>
      <c r="M41" s="26"/>
      <c r="N41" s="26"/>
      <c r="O41" s="162">
        <v>0</v>
      </c>
      <c r="P41" s="26"/>
      <c r="Q41" s="26"/>
      <c r="R41" s="162">
        <v>0</v>
      </c>
      <c r="S41" s="26"/>
      <c r="T41" s="26"/>
      <c r="U41" s="181">
        <f t="shared" si="3"/>
        <v>0</v>
      </c>
      <c r="V41" s="26"/>
      <c r="W41" s="26"/>
      <c r="X41" s="26"/>
      <c r="Z41" s="58"/>
      <c r="AA41" s="26"/>
    </row>
    <row r="42" spans="1:31" x14ac:dyDescent="0.25">
      <c r="A42" s="39" t="s">
        <v>60</v>
      </c>
      <c r="B42" s="39" t="s">
        <v>33</v>
      </c>
      <c r="C42" s="163">
        <v>0</v>
      </c>
      <c r="D42" s="26"/>
      <c r="E42" s="26"/>
      <c r="F42" s="162">
        <v>0</v>
      </c>
      <c r="G42" s="26"/>
      <c r="H42" s="26"/>
      <c r="I42" s="162">
        <v>0</v>
      </c>
      <c r="J42" s="26"/>
      <c r="K42" s="26"/>
      <c r="L42" s="162">
        <v>0</v>
      </c>
      <c r="M42" s="26"/>
      <c r="N42" s="26"/>
      <c r="O42" s="162">
        <v>0</v>
      </c>
      <c r="P42" s="26"/>
      <c r="Q42" s="26"/>
      <c r="R42" s="162">
        <v>0</v>
      </c>
      <c r="S42" s="26"/>
      <c r="T42" s="26"/>
      <c r="U42" s="181">
        <f t="shared" si="3"/>
        <v>0</v>
      </c>
      <c r="V42" s="26"/>
      <c r="W42" s="26"/>
      <c r="X42" s="26"/>
      <c r="Z42" s="58"/>
      <c r="AA42" s="26"/>
    </row>
    <row r="43" spans="1:31" x14ac:dyDescent="0.25">
      <c r="A43" s="39" t="s">
        <v>67</v>
      </c>
      <c r="B43" s="39" t="s">
        <v>33</v>
      </c>
      <c r="C43" s="163">
        <v>0</v>
      </c>
      <c r="D43" s="26"/>
      <c r="E43" s="26"/>
      <c r="F43" s="162">
        <v>0</v>
      </c>
      <c r="G43" s="26"/>
      <c r="H43" s="26"/>
      <c r="I43" s="162">
        <v>0</v>
      </c>
      <c r="J43" s="26"/>
      <c r="K43" s="26"/>
      <c r="L43" s="162">
        <v>0</v>
      </c>
      <c r="M43" s="26"/>
      <c r="N43" s="26"/>
      <c r="O43" s="162">
        <v>0</v>
      </c>
      <c r="P43" s="26"/>
      <c r="Q43" s="26"/>
      <c r="R43" s="162">
        <v>0</v>
      </c>
      <c r="S43" s="26"/>
      <c r="T43" s="26"/>
      <c r="U43" s="181">
        <f t="shared" si="3"/>
        <v>0</v>
      </c>
      <c r="V43" s="26"/>
      <c r="W43" s="26"/>
      <c r="X43" s="26"/>
      <c r="Z43" s="58"/>
      <c r="AA43" s="26"/>
    </row>
    <row r="44" spans="1:31" x14ac:dyDescent="0.25">
      <c r="A44" s="39" t="s">
        <v>15</v>
      </c>
      <c r="B44" s="39" t="s">
        <v>179</v>
      </c>
      <c r="C44" s="163">
        <v>0</v>
      </c>
      <c r="D44" s="26"/>
      <c r="E44" s="26"/>
      <c r="F44" s="162">
        <v>0</v>
      </c>
      <c r="G44" s="26"/>
      <c r="H44" s="26"/>
      <c r="I44" s="162">
        <v>0</v>
      </c>
      <c r="J44" s="26"/>
      <c r="K44" s="26"/>
      <c r="L44" s="162">
        <v>0</v>
      </c>
      <c r="M44" s="26"/>
      <c r="N44" s="26"/>
      <c r="O44" s="162">
        <v>0</v>
      </c>
      <c r="P44" s="26"/>
      <c r="Q44" s="26"/>
      <c r="R44" s="162">
        <v>0</v>
      </c>
      <c r="S44" s="26"/>
      <c r="T44" s="26"/>
      <c r="U44" s="181">
        <f t="shared" si="3"/>
        <v>0</v>
      </c>
      <c r="V44" s="26"/>
      <c r="W44" s="26"/>
      <c r="X44" s="26"/>
      <c r="Z44" s="58"/>
      <c r="AA44" s="26"/>
    </row>
    <row r="45" spans="1:31" x14ac:dyDescent="0.25">
      <c r="A45" s="39" t="s">
        <v>39</v>
      </c>
      <c r="B45" s="39" t="s">
        <v>179</v>
      </c>
      <c r="C45" s="163">
        <v>0</v>
      </c>
      <c r="D45" s="26"/>
      <c r="E45" s="26"/>
      <c r="F45" s="162">
        <v>0</v>
      </c>
      <c r="G45" s="26"/>
      <c r="H45" s="26"/>
      <c r="I45" s="162">
        <v>0</v>
      </c>
      <c r="J45" s="26"/>
      <c r="K45" s="26"/>
      <c r="L45" s="162">
        <v>0</v>
      </c>
      <c r="M45" s="26"/>
      <c r="N45" s="26"/>
      <c r="O45" s="162">
        <v>0</v>
      </c>
      <c r="P45" s="26"/>
      <c r="Q45" s="26"/>
      <c r="R45" s="162">
        <v>0</v>
      </c>
      <c r="S45" s="26"/>
      <c r="T45" s="26"/>
      <c r="U45" s="181">
        <f t="shared" si="3"/>
        <v>0</v>
      </c>
      <c r="V45" s="26"/>
      <c r="W45" s="26"/>
      <c r="X45" s="26"/>
      <c r="Z45" s="58"/>
      <c r="AA45" s="26"/>
    </row>
    <row r="46" spans="1:31" x14ac:dyDescent="0.25">
      <c r="A46" s="39" t="s">
        <v>62</v>
      </c>
      <c r="B46" s="39" t="s">
        <v>179</v>
      </c>
      <c r="C46" s="163">
        <v>0</v>
      </c>
      <c r="D46" s="26"/>
      <c r="E46" s="26"/>
      <c r="F46" s="162">
        <v>0</v>
      </c>
      <c r="G46" s="26"/>
      <c r="H46" s="26"/>
      <c r="I46" s="162">
        <v>0</v>
      </c>
      <c r="J46" s="26"/>
      <c r="K46" s="26"/>
      <c r="L46" s="162">
        <v>0</v>
      </c>
      <c r="M46" s="26"/>
      <c r="N46" s="26"/>
      <c r="O46" s="162">
        <v>0</v>
      </c>
      <c r="P46" s="26"/>
      <c r="Q46" s="26"/>
      <c r="R46" s="162">
        <v>0</v>
      </c>
      <c r="S46" s="26"/>
      <c r="T46" s="26"/>
      <c r="U46" s="181">
        <f t="shared" si="3"/>
        <v>0</v>
      </c>
      <c r="V46" s="26"/>
      <c r="W46" s="26"/>
      <c r="X46" s="26"/>
      <c r="Z46" s="58"/>
      <c r="AA46" s="26"/>
    </row>
    <row r="47" spans="1:31" x14ac:dyDescent="0.25">
      <c r="A47" s="39" t="s">
        <v>31</v>
      </c>
      <c r="B47" s="39" t="s">
        <v>33</v>
      </c>
      <c r="C47" s="163">
        <v>0</v>
      </c>
      <c r="D47" s="26"/>
      <c r="E47" s="26"/>
      <c r="F47" s="162">
        <v>0</v>
      </c>
      <c r="G47" s="26"/>
      <c r="H47" s="26"/>
      <c r="I47" s="162">
        <v>0</v>
      </c>
      <c r="J47" s="26"/>
      <c r="K47" s="26"/>
      <c r="L47" s="162">
        <v>0</v>
      </c>
      <c r="M47" s="26"/>
      <c r="N47" s="26"/>
      <c r="O47" s="162">
        <v>0</v>
      </c>
      <c r="P47" s="26"/>
      <c r="Q47" s="26"/>
      <c r="R47" s="162">
        <v>0</v>
      </c>
      <c r="S47" s="26"/>
      <c r="T47" s="26"/>
      <c r="U47" s="181">
        <f t="shared" si="3"/>
        <v>0</v>
      </c>
      <c r="V47" s="26"/>
      <c r="W47" s="26"/>
      <c r="Z47" s="58"/>
      <c r="AA47" s="26"/>
    </row>
    <row r="48" spans="1:31" x14ac:dyDescent="0.25">
      <c r="A48" s="39" t="s">
        <v>68</v>
      </c>
      <c r="B48" s="39" t="s">
        <v>33</v>
      </c>
      <c r="C48" s="163">
        <v>0</v>
      </c>
      <c r="E48" s="26"/>
      <c r="F48" s="162">
        <v>0</v>
      </c>
      <c r="H48" s="26"/>
      <c r="I48" s="162">
        <v>0</v>
      </c>
      <c r="K48" s="26"/>
      <c r="L48" s="162">
        <v>0</v>
      </c>
      <c r="N48" s="26"/>
      <c r="O48" s="162">
        <v>0</v>
      </c>
      <c r="Q48" s="26"/>
      <c r="R48" s="162">
        <v>0</v>
      </c>
      <c r="T48" s="26"/>
      <c r="U48" s="181">
        <f t="shared" si="3"/>
        <v>0</v>
      </c>
      <c r="W48" s="26"/>
      <c r="Z48" s="58"/>
    </row>
    <row r="49" spans="1:32" x14ac:dyDescent="0.25">
      <c r="A49" s="39" t="s">
        <v>48</v>
      </c>
      <c r="B49" s="39" t="s">
        <v>179</v>
      </c>
      <c r="C49" s="163">
        <v>0</v>
      </c>
      <c r="D49" s="92" t="s">
        <v>84</v>
      </c>
      <c r="E49" s="92" t="s">
        <v>85</v>
      </c>
      <c r="F49" s="162">
        <v>0</v>
      </c>
      <c r="G49" s="92" t="s">
        <v>84</v>
      </c>
      <c r="H49" s="92" t="s">
        <v>85</v>
      </c>
      <c r="I49" s="162">
        <v>0</v>
      </c>
      <c r="J49" s="92" t="s">
        <v>84</v>
      </c>
      <c r="K49" s="92" t="s">
        <v>85</v>
      </c>
      <c r="L49" s="162">
        <v>0</v>
      </c>
      <c r="M49" s="92" t="s">
        <v>84</v>
      </c>
      <c r="N49" s="92" t="s">
        <v>85</v>
      </c>
      <c r="O49" s="162">
        <v>0</v>
      </c>
      <c r="P49" s="92" t="s">
        <v>84</v>
      </c>
      <c r="Q49" s="92" t="s">
        <v>85</v>
      </c>
      <c r="R49" s="162">
        <v>0</v>
      </c>
      <c r="S49" s="92" t="s">
        <v>84</v>
      </c>
      <c r="T49" s="92" t="s">
        <v>85</v>
      </c>
      <c r="U49" s="181">
        <f t="shared" si="3"/>
        <v>0</v>
      </c>
      <c r="V49" s="208" t="s">
        <v>84</v>
      </c>
      <c r="W49" s="208" t="s">
        <v>85</v>
      </c>
      <c r="Z49" s="58"/>
    </row>
    <row r="50" spans="1:32" x14ac:dyDescent="0.25">
      <c r="A50" s="89" t="s">
        <v>53</v>
      </c>
      <c r="B50" s="160"/>
      <c r="C50" s="159">
        <f>SUM(C30:C49)</f>
        <v>0</v>
      </c>
      <c r="D50" s="157">
        <f>C35+C36+C37+C38+C39+C44+C49</f>
        <v>0</v>
      </c>
      <c r="E50" s="157">
        <f>C50-D50</f>
        <v>0</v>
      </c>
      <c r="F50" s="159">
        <f>SUM(F30:F49)</f>
        <v>25</v>
      </c>
      <c r="G50" s="157">
        <f>F35+F36+F37+F38+F39+F44+F49</f>
        <v>25</v>
      </c>
      <c r="H50" s="157">
        <f>F50-G50</f>
        <v>0</v>
      </c>
      <c r="I50" s="159">
        <f>SUM(I30:I49)</f>
        <v>0</v>
      </c>
      <c r="J50" s="157">
        <f>I35+I36+I37+I38+I39+I44+I49</f>
        <v>0</v>
      </c>
      <c r="K50" s="157">
        <f>I50-J50</f>
        <v>0</v>
      </c>
      <c r="L50" s="159">
        <f>SUM(L30:L49)</f>
        <v>0</v>
      </c>
      <c r="M50" s="157">
        <f>L35+L36+L37+L38+L39+L44+L49</f>
        <v>0</v>
      </c>
      <c r="N50" s="157">
        <f>L50-M50</f>
        <v>0</v>
      </c>
      <c r="O50" s="159">
        <f>SUM(O30:O49)</f>
        <v>0</v>
      </c>
      <c r="P50" s="157">
        <f>O35+O36+O37+O38+O39+O44+O49</f>
        <v>0</v>
      </c>
      <c r="Q50" s="157">
        <f>O50-P50</f>
        <v>0</v>
      </c>
      <c r="R50" s="159">
        <f>SUM(R30:R49)</f>
        <v>0</v>
      </c>
      <c r="S50" s="157">
        <f>R35+R36+R37+R38+R39+R44+R49</f>
        <v>0</v>
      </c>
      <c r="T50" s="157">
        <f>R50-S50</f>
        <v>0</v>
      </c>
      <c r="U50" s="159">
        <f>SUM(U30:U49)</f>
        <v>25</v>
      </c>
      <c r="V50" s="157">
        <f>U35+U36+U37+U38+U39+U44+U49</f>
        <v>25</v>
      </c>
      <c r="W50" s="157">
        <f>U50-V50</f>
        <v>0</v>
      </c>
      <c r="Z50" s="91"/>
    </row>
    <row r="51" spans="1:32" x14ac:dyDescent="0.25">
      <c r="A51" s="39"/>
      <c r="B51" s="39"/>
      <c r="U51" s="26"/>
      <c r="Z51" s="91"/>
    </row>
    <row r="52" spans="1:32" ht="15.75" thickBot="1" x14ac:dyDescent="0.3">
      <c r="A52" s="203"/>
      <c r="B52" s="203"/>
      <c r="U52" s="26"/>
      <c r="Z52" s="26"/>
    </row>
    <row r="53" spans="1:32" ht="30.75" thickBot="1" x14ac:dyDescent="0.3">
      <c r="A53" s="205" t="s">
        <v>2</v>
      </c>
      <c r="B53" s="206"/>
      <c r="C53" s="200" t="s">
        <v>211</v>
      </c>
      <c r="D53" s="206"/>
      <c r="E53" s="206"/>
      <c r="F53" s="200" t="s">
        <v>212</v>
      </c>
      <c r="G53" s="206"/>
      <c r="H53" s="206"/>
      <c r="I53" s="200" t="s">
        <v>213</v>
      </c>
      <c r="J53" s="206"/>
      <c r="K53" s="206"/>
      <c r="L53" s="200" t="s">
        <v>228</v>
      </c>
      <c r="M53" s="206"/>
      <c r="N53" s="206"/>
      <c r="O53" s="200" t="s">
        <v>229</v>
      </c>
      <c r="P53" s="206"/>
      <c r="Q53" s="206"/>
      <c r="R53" s="200" t="s">
        <v>230</v>
      </c>
      <c r="S53" s="206"/>
      <c r="T53" s="206"/>
      <c r="U53" s="209" t="s">
        <v>215</v>
      </c>
      <c r="W53" s="26"/>
      <c r="Y53" s="26"/>
      <c r="Z53" s="26"/>
      <c r="AA53" s="74"/>
    </row>
    <row r="54" spans="1:32" x14ac:dyDescent="0.25">
      <c r="A54" s="179" t="s">
        <v>12</v>
      </c>
      <c r="B54" s="179" t="s">
        <v>180</v>
      </c>
      <c r="C54" s="163">
        <v>0</v>
      </c>
      <c r="D54" s="26"/>
      <c r="E54" s="26"/>
      <c r="F54" s="180">
        <v>0</v>
      </c>
      <c r="G54" s="26"/>
      <c r="H54" s="26"/>
      <c r="I54" s="180">
        <v>0</v>
      </c>
      <c r="J54" s="26"/>
      <c r="K54" s="26"/>
      <c r="L54" s="180">
        <v>0</v>
      </c>
      <c r="M54" s="26"/>
      <c r="N54" s="26"/>
      <c r="O54" s="180">
        <v>0</v>
      </c>
      <c r="P54" s="26"/>
      <c r="Q54" s="26"/>
      <c r="R54" s="180">
        <v>0</v>
      </c>
      <c r="S54" s="26"/>
      <c r="T54" s="26"/>
      <c r="U54" s="181">
        <f t="shared" ref="U54:U62" si="4">C54+F54+I54+L54+O54+R54</f>
        <v>0</v>
      </c>
      <c r="V54" s="26"/>
      <c r="W54" s="26"/>
      <c r="X54" s="26"/>
      <c r="Y54" s="26"/>
      <c r="Z54" s="58"/>
      <c r="AA54" s="74"/>
      <c r="AC54" s="6"/>
      <c r="AF54" s="26"/>
    </row>
    <row r="55" spans="1:32" x14ac:dyDescent="0.25">
      <c r="A55" s="179" t="s">
        <v>12</v>
      </c>
      <c r="B55" s="179" t="s">
        <v>197</v>
      </c>
      <c r="C55" s="163">
        <v>0</v>
      </c>
      <c r="D55" s="26"/>
      <c r="E55" s="26"/>
      <c r="F55" s="180">
        <v>0</v>
      </c>
      <c r="G55" s="26"/>
      <c r="H55" s="26"/>
      <c r="I55" s="180">
        <v>0</v>
      </c>
      <c r="J55" s="26"/>
      <c r="K55" s="26"/>
      <c r="L55" s="180">
        <v>0</v>
      </c>
      <c r="M55" s="26"/>
      <c r="N55" s="26"/>
      <c r="O55" s="180">
        <v>0</v>
      </c>
      <c r="P55" s="26"/>
      <c r="Q55" s="26"/>
      <c r="R55" s="180">
        <v>0</v>
      </c>
      <c r="S55" s="26"/>
      <c r="T55" s="26"/>
      <c r="U55" s="181">
        <f t="shared" si="4"/>
        <v>0</v>
      </c>
      <c r="V55" s="26"/>
      <c r="W55" s="26"/>
      <c r="X55" s="26"/>
      <c r="Y55" s="26"/>
      <c r="Z55" s="58"/>
      <c r="AA55" s="74"/>
      <c r="AC55" s="6"/>
      <c r="AF55" s="26"/>
    </row>
    <row r="56" spans="1:32" x14ac:dyDescent="0.25">
      <c r="A56" s="179" t="s">
        <v>12</v>
      </c>
      <c r="B56" s="179" t="s">
        <v>198</v>
      </c>
      <c r="C56" s="163">
        <v>0</v>
      </c>
      <c r="D56" s="26"/>
      <c r="E56" s="26"/>
      <c r="F56" s="180">
        <v>0</v>
      </c>
      <c r="G56" s="26"/>
      <c r="H56" s="26"/>
      <c r="I56" s="180">
        <v>0</v>
      </c>
      <c r="J56" s="26"/>
      <c r="K56" s="26"/>
      <c r="L56" s="180">
        <v>0</v>
      </c>
      <c r="M56" s="26"/>
      <c r="N56" s="26"/>
      <c r="O56" s="180">
        <v>0</v>
      </c>
      <c r="P56" s="26"/>
      <c r="Q56" s="26"/>
      <c r="R56" s="180">
        <v>0</v>
      </c>
      <c r="S56" s="26"/>
      <c r="T56" s="26"/>
      <c r="U56" s="181">
        <f t="shared" si="4"/>
        <v>0</v>
      </c>
      <c r="V56" s="26"/>
      <c r="W56" s="26"/>
      <c r="X56" s="26"/>
      <c r="Y56" s="26"/>
      <c r="Z56" s="58"/>
      <c r="AA56" s="74"/>
      <c r="AC56" s="6"/>
      <c r="AF56" s="26"/>
    </row>
    <row r="57" spans="1:32" x14ac:dyDescent="0.25">
      <c r="A57" s="39" t="s">
        <v>9</v>
      </c>
      <c r="B57" s="39" t="s">
        <v>180</v>
      </c>
      <c r="C57" s="163">
        <v>0</v>
      </c>
      <c r="D57" s="26"/>
      <c r="F57" s="165">
        <v>0</v>
      </c>
      <c r="G57" s="26"/>
      <c r="I57" s="165">
        <v>0</v>
      </c>
      <c r="J57" s="26"/>
      <c r="L57" s="165">
        <v>0</v>
      </c>
      <c r="M57" s="26"/>
      <c r="O57" s="165">
        <v>0</v>
      </c>
      <c r="P57" s="26"/>
      <c r="R57" s="165">
        <v>0</v>
      </c>
      <c r="S57" s="26"/>
      <c r="U57" s="181">
        <f t="shared" si="4"/>
        <v>0</v>
      </c>
      <c r="V57" s="26"/>
      <c r="Y57" s="26"/>
      <c r="Z57" s="26"/>
      <c r="AA57" s="74"/>
    </row>
    <row r="58" spans="1:32" x14ac:dyDescent="0.25">
      <c r="A58" s="39" t="s">
        <v>49</v>
      </c>
      <c r="B58" s="39" t="s">
        <v>180</v>
      </c>
      <c r="C58" s="163">
        <v>0</v>
      </c>
      <c r="D58" s="26"/>
      <c r="F58" s="165">
        <v>0</v>
      </c>
      <c r="G58" s="26"/>
      <c r="I58" s="165">
        <v>0</v>
      </c>
      <c r="J58" s="26"/>
      <c r="L58" s="165">
        <v>0</v>
      </c>
      <c r="M58" s="26"/>
      <c r="O58" s="165">
        <v>0</v>
      </c>
      <c r="P58" s="26"/>
      <c r="R58" s="165">
        <v>0</v>
      </c>
      <c r="S58" s="26"/>
      <c r="U58" s="181">
        <f t="shared" si="4"/>
        <v>0</v>
      </c>
      <c r="V58" s="26"/>
      <c r="Y58" s="26"/>
      <c r="Z58" s="26"/>
      <c r="AA58" s="74"/>
    </row>
    <row r="59" spans="1:32" x14ac:dyDescent="0.25">
      <c r="A59" s="39" t="s">
        <v>49</v>
      </c>
      <c r="B59" s="39" t="s">
        <v>197</v>
      </c>
      <c r="C59" s="163">
        <v>0</v>
      </c>
      <c r="D59" s="26"/>
      <c r="F59" s="165">
        <v>0</v>
      </c>
      <c r="G59" s="26"/>
      <c r="I59" s="165">
        <v>0</v>
      </c>
      <c r="J59" s="26"/>
      <c r="L59" s="165">
        <v>0</v>
      </c>
      <c r="M59" s="26"/>
      <c r="O59" s="165">
        <v>0</v>
      </c>
      <c r="P59" s="26"/>
      <c r="R59" s="165">
        <v>0</v>
      </c>
      <c r="S59" s="26"/>
      <c r="U59" s="181">
        <f t="shared" si="4"/>
        <v>0</v>
      </c>
      <c r="V59" s="26"/>
      <c r="Y59" s="26"/>
      <c r="Z59" s="26"/>
      <c r="AA59" s="74"/>
    </row>
    <row r="60" spans="1:32" x14ac:dyDescent="0.25">
      <c r="A60" s="39" t="s">
        <v>49</v>
      </c>
      <c r="B60" s="39" t="s">
        <v>71</v>
      </c>
      <c r="C60" s="163">
        <v>0</v>
      </c>
      <c r="D60" s="26"/>
      <c r="F60" s="165">
        <v>0</v>
      </c>
      <c r="G60" s="26"/>
      <c r="I60" s="165">
        <v>0</v>
      </c>
      <c r="J60" s="26"/>
      <c r="L60" s="165">
        <v>0</v>
      </c>
      <c r="M60" s="26"/>
      <c r="O60" s="165">
        <v>0</v>
      </c>
      <c r="P60" s="26"/>
      <c r="R60" s="165">
        <v>0</v>
      </c>
      <c r="S60" s="26"/>
      <c r="U60" s="181">
        <f t="shared" si="4"/>
        <v>0</v>
      </c>
      <c r="V60" s="26"/>
      <c r="Y60" s="26"/>
      <c r="Z60" s="26"/>
      <c r="AA60" s="74"/>
    </row>
    <row r="61" spans="1:32" x14ac:dyDescent="0.25">
      <c r="A61" s="39" t="s">
        <v>181</v>
      </c>
      <c r="B61" s="39" t="s">
        <v>180</v>
      </c>
      <c r="C61" s="163">
        <v>0</v>
      </c>
      <c r="D61" s="26"/>
      <c r="F61" s="166">
        <v>0</v>
      </c>
      <c r="G61" s="26"/>
      <c r="I61" s="166">
        <v>0</v>
      </c>
      <c r="J61" s="26"/>
      <c r="L61" s="166">
        <v>0</v>
      </c>
      <c r="M61" s="26"/>
      <c r="O61" s="166">
        <v>0</v>
      </c>
      <c r="P61" s="26"/>
      <c r="R61" s="166">
        <v>0</v>
      </c>
      <c r="S61" s="26"/>
      <c r="U61" s="181">
        <f t="shared" si="4"/>
        <v>0</v>
      </c>
      <c r="V61" s="26"/>
      <c r="Y61" s="26"/>
      <c r="Z61" s="26"/>
      <c r="AA61" s="74"/>
    </row>
    <row r="62" spans="1:32" x14ac:dyDescent="0.25">
      <c r="A62" s="39" t="s">
        <v>181</v>
      </c>
      <c r="B62" s="39" t="s">
        <v>71</v>
      </c>
      <c r="C62" s="163">
        <v>0</v>
      </c>
      <c r="D62" s="92" t="s">
        <v>84</v>
      </c>
      <c r="E62" s="92" t="s">
        <v>85</v>
      </c>
      <c r="F62" s="165">
        <v>0</v>
      </c>
      <c r="G62" s="92" t="s">
        <v>84</v>
      </c>
      <c r="H62" s="92" t="s">
        <v>85</v>
      </c>
      <c r="I62" s="165">
        <v>0</v>
      </c>
      <c r="J62" s="92" t="s">
        <v>84</v>
      </c>
      <c r="K62" s="92" t="s">
        <v>85</v>
      </c>
      <c r="L62" s="165">
        <v>0</v>
      </c>
      <c r="M62" s="92" t="s">
        <v>84</v>
      </c>
      <c r="N62" s="92" t="s">
        <v>85</v>
      </c>
      <c r="O62" s="165">
        <v>0</v>
      </c>
      <c r="P62" s="92" t="s">
        <v>84</v>
      </c>
      <c r="Q62" s="92" t="s">
        <v>85</v>
      </c>
      <c r="R62" s="165">
        <v>0</v>
      </c>
      <c r="S62" s="92" t="s">
        <v>84</v>
      </c>
      <c r="T62" s="92" t="s">
        <v>85</v>
      </c>
      <c r="U62" s="181">
        <f t="shared" si="4"/>
        <v>0</v>
      </c>
      <c r="V62" s="208" t="s">
        <v>84</v>
      </c>
      <c r="W62" s="208" t="s">
        <v>85</v>
      </c>
      <c r="Y62" s="26"/>
      <c r="Z62" s="26"/>
      <c r="AC62" s="6"/>
      <c r="AE62" s="8"/>
    </row>
    <row r="63" spans="1:32" x14ac:dyDescent="0.25">
      <c r="A63" s="89" t="s">
        <v>53</v>
      </c>
      <c r="B63" s="160"/>
      <c r="C63" s="159">
        <f>SUM(C54:C62)</f>
        <v>0</v>
      </c>
      <c r="D63" s="157">
        <f>C57+C58+C59+C60+C61+C62</f>
        <v>0</v>
      </c>
      <c r="E63" s="157">
        <f>C63-D63</f>
        <v>0</v>
      </c>
      <c r="F63" s="159">
        <f>SUM(F54:F62)</f>
        <v>0</v>
      </c>
      <c r="G63" s="157">
        <f>F57+F58+F59+F60+F61+F62</f>
        <v>0</v>
      </c>
      <c r="H63" s="157">
        <f>F63-G63</f>
        <v>0</v>
      </c>
      <c r="I63" s="159">
        <f>SUM(I54:I62)</f>
        <v>0</v>
      </c>
      <c r="J63" s="157">
        <f>I57+I58+I59+I60+I61+I62</f>
        <v>0</v>
      </c>
      <c r="K63" s="157">
        <f>I63-J63</f>
        <v>0</v>
      </c>
      <c r="L63" s="159">
        <f>SUM(L54:L62)</f>
        <v>0</v>
      </c>
      <c r="M63" s="157">
        <f>L57+L58+L59+L60+L61+L62</f>
        <v>0</v>
      </c>
      <c r="N63" s="157">
        <f>L63-M63</f>
        <v>0</v>
      </c>
      <c r="O63" s="159">
        <f>SUM(O54:O62)</f>
        <v>0</v>
      </c>
      <c r="P63" s="157">
        <f>O57+O58+O59+O60+O61+O62</f>
        <v>0</v>
      </c>
      <c r="Q63" s="157">
        <f>O63-P63</f>
        <v>0</v>
      </c>
      <c r="R63" s="159">
        <f>SUM(R54:R62)</f>
        <v>0</v>
      </c>
      <c r="S63" s="157">
        <f>R57+R58+R59+R60+R61+R62</f>
        <v>0</v>
      </c>
      <c r="T63" s="157">
        <f>R63-S63</f>
        <v>0</v>
      </c>
      <c r="U63" s="159">
        <f>SUM(U54:U62)</f>
        <v>0</v>
      </c>
      <c r="V63" s="157">
        <f>U57+U58+U59+U60+U61+U62</f>
        <v>0</v>
      </c>
      <c r="W63" s="157">
        <f>U63-V63</f>
        <v>0</v>
      </c>
      <c r="Z63" s="26"/>
    </row>
    <row r="64" spans="1:32" x14ac:dyDescent="0.25">
      <c r="A64" s="39"/>
      <c r="B64" s="39"/>
      <c r="D64" s="183">
        <f>D63/2</f>
        <v>0</v>
      </c>
      <c r="E64" s="183">
        <f>E63/2</f>
        <v>0</v>
      </c>
      <c r="G64" s="183">
        <f>G63/2</f>
        <v>0</v>
      </c>
      <c r="H64" s="183">
        <f>H63/2</f>
        <v>0</v>
      </c>
      <c r="J64" s="183">
        <f>J63/2</f>
        <v>0</v>
      </c>
      <c r="K64" s="183">
        <f>K63/2</f>
        <v>0</v>
      </c>
      <c r="M64" s="183">
        <f>M63/2</f>
        <v>0</v>
      </c>
      <c r="N64" s="183">
        <f>N63/2</f>
        <v>0</v>
      </c>
      <c r="P64" s="183">
        <f>P63/2</f>
        <v>0</v>
      </c>
      <c r="Q64" s="183">
        <f>Q63/2</f>
        <v>0</v>
      </c>
      <c r="S64" s="183">
        <f>S63/2</f>
        <v>0</v>
      </c>
      <c r="T64" s="183">
        <f>T63/2</f>
        <v>0</v>
      </c>
      <c r="U64" s="26"/>
      <c r="V64" s="183">
        <f>V63/2</f>
        <v>0</v>
      </c>
      <c r="W64" s="183">
        <f>W63/2</f>
        <v>0</v>
      </c>
      <c r="Y64" s="167"/>
      <c r="Z64" s="26"/>
    </row>
    <row r="65" spans="1:31" ht="15.75" thickBot="1" x14ac:dyDescent="0.3">
      <c r="A65" s="203"/>
      <c r="B65" s="203"/>
      <c r="D65" s="26"/>
      <c r="E65" s="26"/>
      <c r="G65" s="26"/>
      <c r="H65" s="26"/>
      <c r="J65" s="26"/>
      <c r="K65" s="26"/>
      <c r="M65" s="26"/>
      <c r="N65" s="26"/>
      <c r="P65" s="26"/>
      <c r="Q65" s="26"/>
      <c r="S65" s="26"/>
      <c r="T65" s="26"/>
      <c r="U65" s="26"/>
      <c r="V65" s="26"/>
      <c r="W65" s="26"/>
      <c r="Z65" s="59"/>
    </row>
    <row r="66" spans="1:31" ht="30.75" thickBot="1" x14ac:dyDescent="0.3">
      <c r="A66" s="205" t="s">
        <v>82</v>
      </c>
      <c r="B66" s="206"/>
      <c r="C66" s="200" t="s">
        <v>211</v>
      </c>
      <c r="D66" s="206"/>
      <c r="E66" s="206"/>
      <c r="F66" s="200" t="s">
        <v>212</v>
      </c>
      <c r="G66" s="206"/>
      <c r="H66" s="206"/>
      <c r="I66" s="200" t="s">
        <v>213</v>
      </c>
      <c r="J66" s="206"/>
      <c r="K66" s="206"/>
      <c r="L66" s="200" t="s">
        <v>228</v>
      </c>
      <c r="M66" s="206"/>
      <c r="N66" s="206"/>
      <c r="O66" s="200" t="s">
        <v>229</v>
      </c>
      <c r="P66" s="206"/>
      <c r="Q66" s="206"/>
      <c r="R66" s="200" t="s">
        <v>230</v>
      </c>
      <c r="S66" s="206"/>
      <c r="T66" s="206"/>
      <c r="U66" s="209" t="s">
        <v>215</v>
      </c>
      <c r="V66" s="26"/>
      <c r="W66" s="26"/>
      <c r="X66" s="26"/>
      <c r="Z66" s="59"/>
    </row>
    <row r="67" spans="1:31" x14ac:dyDescent="0.25">
      <c r="A67" s="179" t="s">
        <v>11</v>
      </c>
      <c r="B67" s="179" t="s">
        <v>32</v>
      </c>
      <c r="C67" s="163">
        <v>0</v>
      </c>
      <c r="D67" s="26"/>
      <c r="E67" s="26"/>
      <c r="F67" s="180">
        <v>0</v>
      </c>
      <c r="G67" s="26"/>
      <c r="H67" s="26"/>
      <c r="I67" s="180">
        <v>0</v>
      </c>
      <c r="J67" s="26"/>
      <c r="K67" s="26"/>
      <c r="L67" s="162">
        <v>0</v>
      </c>
      <c r="M67" s="26"/>
      <c r="N67" s="26"/>
      <c r="O67" s="180">
        <v>0</v>
      </c>
      <c r="P67" s="26"/>
      <c r="Q67" s="26"/>
      <c r="R67" s="180">
        <v>0</v>
      </c>
      <c r="S67" s="26"/>
      <c r="T67" s="26"/>
      <c r="U67" s="181">
        <f t="shared" ref="U67:U75" si="5">C67+F67+I67+L67+O67+R67</f>
        <v>0</v>
      </c>
      <c r="V67" s="26"/>
      <c r="W67" s="26"/>
      <c r="X67" s="26"/>
      <c r="Z67" s="59"/>
      <c r="AB67" s="26"/>
    </row>
    <row r="68" spans="1:31" x14ac:dyDescent="0.25">
      <c r="A68" s="39" t="s">
        <v>12</v>
      </c>
      <c r="B68" s="39" t="s">
        <v>32</v>
      </c>
      <c r="C68" s="163">
        <v>0</v>
      </c>
      <c r="D68" s="26"/>
      <c r="E68" s="26"/>
      <c r="F68" s="162">
        <v>0</v>
      </c>
      <c r="G68" s="26"/>
      <c r="H68" s="26"/>
      <c r="I68" s="162">
        <v>0</v>
      </c>
      <c r="J68" s="26"/>
      <c r="K68" s="26"/>
      <c r="L68" s="162">
        <v>0</v>
      </c>
      <c r="M68" s="26"/>
      <c r="N68" s="26"/>
      <c r="O68" s="162">
        <v>0</v>
      </c>
      <c r="P68" s="26"/>
      <c r="Q68" s="26"/>
      <c r="R68" s="162">
        <v>0</v>
      </c>
      <c r="S68" s="26"/>
      <c r="T68" s="26"/>
      <c r="U68" s="181">
        <f t="shared" si="5"/>
        <v>0</v>
      </c>
      <c r="V68" s="26"/>
      <c r="W68" s="26"/>
      <c r="X68" s="26"/>
      <c r="Z68" s="59"/>
      <c r="AB68" s="26"/>
    </row>
    <row r="69" spans="1:31" x14ac:dyDescent="0.25">
      <c r="A69" s="39" t="s">
        <v>10</v>
      </c>
      <c r="B69" s="39" t="s">
        <v>32</v>
      </c>
      <c r="C69" s="163">
        <v>0</v>
      </c>
      <c r="D69" s="26"/>
      <c r="F69" s="162">
        <v>0</v>
      </c>
      <c r="G69" s="26"/>
      <c r="I69" s="162">
        <v>0</v>
      </c>
      <c r="J69" s="26"/>
      <c r="L69" s="162">
        <v>0</v>
      </c>
      <c r="M69" s="26"/>
      <c r="O69" s="162">
        <v>0</v>
      </c>
      <c r="P69" s="26"/>
      <c r="R69" s="162">
        <v>0</v>
      </c>
      <c r="S69" s="26"/>
      <c r="U69" s="181">
        <f t="shared" si="5"/>
        <v>0</v>
      </c>
      <c r="V69" s="26"/>
      <c r="X69" s="26"/>
      <c r="Z69" s="59"/>
      <c r="AB69" s="26"/>
    </row>
    <row r="70" spans="1:31" x14ac:dyDescent="0.25">
      <c r="A70" s="39" t="s">
        <v>169</v>
      </c>
      <c r="B70" s="39" t="s">
        <v>170</v>
      </c>
      <c r="C70" s="163">
        <v>0</v>
      </c>
      <c r="D70" s="26"/>
      <c r="F70" s="162">
        <v>0</v>
      </c>
      <c r="G70" s="26"/>
      <c r="I70" s="162">
        <v>0</v>
      </c>
      <c r="J70" s="26"/>
      <c r="L70" s="162">
        <v>0</v>
      </c>
      <c r="M70" s="26"/>
      <c r="O70" s="162">
        <v>0</v>
      </c>
      <c r="P70" s="26"/>
      <c r="R70" s="162">
        <v>0</v>
      </c>
      <c r="S70" s="26"/>
      <c r="U70" s="181">
        <f t="shared" si="5"/>
        <v>0</v>
      </c>
      <c r="V70" s="26"/>
      <c r="X70" s="26"/>
      <c r="Z70" s="59"/>
      <c r="AB70" s="26"/>
    </row>
    <row r="71" spans="1:31" x14ac:dyDescent="0.25">
      <c r="A71" s="39" t="s">
        <v>9</v>
      </c>
      <c r="B71" s="39" t="s">
        <v>32</v>
      </c>
      <c r="C71" s="163">
        <v>0</v>
      </c>
      <c r="D71" s="26"/>
      <c r="F71" s="162">
        <v>0</v>
      </c>
      <c r="G71" s="26"/>
      <c r="I71" s="162">
        <v>0</v>
      </c>
      <c r="J71" s="26"/>
      <c r="L71" s="162">
        <v>0</v>
      </c>
      <c r="M71" s="26"/>
      <c r="O71" s="162">
        <v>0</v>
      </c>
      <c r="P71" s="26"/>
      <c r="R71" s="162">
        <v>0</v>
      </c>
      <c r="S71" s="26"/>
      <c r="U71" s="181">
        <f t="shared" si="5"/>
        <v>0</v>
      </c>
      <c r="V71" s="26"/>
      <c r="X71" s="26"/>
      <c r="Z71" s="59"/>
      <c r="AB71" s="26"/>
      <c r="AC71" s="6"/>
      <c r="AE71" s="8"/>
    </row>
    <row r="72" spans="1:31" x14ac:dyDescent="0.25">
      <c r="A72" s="39" t="s">
        <v>184</v>
      </c>
      <c r="B72" s="39" t="s">
        <v>173</v>
      </c>
      <c r="C72" s="163">
        <v>0</v>
      </c>
      <c r="D72" s="26"/>
      <c r="F72" s="162">
        <v>0</v>
      </c>
      <c r="G72" s="26"/>
      <c r="I72" s="162">
        <v>0</v>
      </c>
      <c r="J72" s="26"/>
      <c r="L72" s="162">
        <v>0</v>
      </c>
      <c r="M72" s="26"/>
      <c r="O72" s="162">
        <v>0</v>
      </c>
      <c r="P72" s="26"/>
      <c r="R72" s="162">
        <v>0</v>
      </c>
      <c r="S72" s="26"/>
      <c r="U72" s="181">
        <f t="shared" si="5"/>
        <v>0</v>
      </c>
      <c r="V72" s="26"/>
      <c r="X72" s="26"/>
      <c r="Z72" s="59"/>
      <c r="AC72" s="6"/>
      <c r="AE72" s="8"/>
    </row>
    <row r="73" spans="1:31" x14ac:dyDescent="0.25">
      <c r="A73" s="39" t="s">
        <v>49</v>
      </c>
      <c r="B73" s="39" t="s">
        <v>173</v>
      </c>
      <c r="C73" s="163">
        <v>0</v>
      </c>
      <c r="D73" s="26"/>
      <c r="F73" s="163">
        <v>0</v>
      </c>
      <c r="G73" s="26"/>
      <c r="I73" s="163">
        <v>0</v>
      </c>
      <c r="J73" s="26"/>
      <c r="L73" s="162">
        <v>0</v>
      </c>
      <c r="M73" s="26"/>
      <c r="O73" s="163">
        <v>0</v>
      </c>
      <c r="P73" s="26"/>
      <c r="R73" s="163">
        <v>0</v>
      </c>
      <c r="S73" s="26"/>
      <c r="U73" s="181">
        <f t="shared" si="5"/>
        <v>0</v>
      </c>
      <c r="V73" s="26"/>
      <c r="X73" s="26"/>
      <c r="Z73" s="59"/>
      <c r="AC73" s="6"/>
      <c r="AE73" s="8"/>
    </row>
    <row r="74" spans="1:31" x14ac:dyDescent="0.25">
      <c r="A74" s="39" t="s">
        <v>15</v>
      </c>
      <c r="B74" s="39" t="s">
        <v>186</v>
      </c>
      <c r="C74" s="163">
        <v>0</v>
      </c>
      <c r="D74" s="26"/>
      <c r="F74" s="162">
        <v>0</v>
      </c>
      <c r="G74" s="26"/>
      <c r="I74" s="162">
        <v>0</v>
      </c>
      <c r="J74" s="26"/>
      <c r="L74" s="162">
        <v>0</v>
      </c>
      <c r="M74" s="26"/>
      <c r="O74" s="162">
        <v>0</v>
      </c>
      <c r="P74" s="26"/>
      <c r="R74" s="162">
        <v>0</v>
      </c>
      <c r="S74" s="26"/>
      <c r="U74" s="181">
        <f t="shared" si="5"/>
        <v>0</v>
      </c>
      <c r="V74" s="26"/>
      <c r="X74" s="26"/>
      <c r="Z74" s="59"/>
    </row>
    <row r="75" spans="1:31" x14ac:dyDescent="0.25">
      <c r="A75" s="39" t="s">
        <v>48</v>
      </c>
      <c r="B75" s="39" t="s">
        <v>51</v>
      </c>
      <c r="C75" s="163">
        <v>0</v>
      </c>
      <c r="D75" s="92" t="s">
        <v>84</v>
      </c>
      <c r="E75" s="92" t="s">
        <v>85</v>
      </c>
      <c r="F75" s="162">
        <v>0</v>
      </c>
      <c r="G75" s="92" t="s">
        <v>84</v>
      </c>
      <c r="H75" s="92" t="s">
        <v>85</v>
      </c>
      <c r="I75" s="162">
        <v>0</v>
      </c>
      <c r="J75" s="92" t="s">
        <v>84</v>
      </c>
      <c r="K75" s="92" t="s">
        <v>85</v>
      </c>
      <c r="L75" s="162">
        <v>0</v>
      </c>
      <c r="M75" s="92" t="s">
        <v>84</v>
      </c>
      <c r="N75" s="92" t="s">
        <v>85</v>
      </c>
      <c r="O75" s="162">
        <v>0</v>
      </c>
      <c r="P75" s="92" t="s">
        <v>84</v>
      </c>
      <c r="Q75" s="92" t="s">
        <v>85</v>
      </c>
      <c r="R75" s="162">
        <v>0</v>
      </c>
      <c r="S75" s="92" t="s">
        <v>84</v>
      </c>
      <c r="T75" s="92" t="s">
        <v>85</v>
      </c>
      <c r="U75" s="181">
        <f t="shared" si="5"/>
        <v>0</v>
      </c>
      <c r="V75" s="208" t="s">
        <v>84</v>
      </c>
      <c r="W75" s="208" t="s">
        <v>85</v>
      </c>
      <c r="X75" s="26"/>
      <c r="Y75" s="26"/>
      <c r="Z75" s="59"/>
    </row>
    <row r="76" spans="1:31" x14ac:dyDescent="0.25">
      <c r="A76" s="89" t="s">
        <v>53</v>
      </c>
      <c r="B76" s="160"/>
      <c r="C76" s="159">
        <f>SUM(C67:C75)</f>
        <v>0</v>
      </c>
      <c r="D76" s="157">
        <f>C71+C72+C73+C74+C75</f>
        <v>0</v>
      </c>
      <c r="E76" s="157">
        <f>C76-D76</f>
        <v>0</v>
      </c>
      <c r="F76" s="159">
        <f>SUM(F67:F75)</f>
        <v>0</v>
      </c>
      <c r="G76" s="157">
        <f>F71+F72+F73+F74+F75</f>
        <v>0</v>
      </c>
      <c r="H76" s="157">
        <f>F76-G76</f>
        <v>0</v>
      </c>
      <c r="I76" s="159">
        <f>SUM(I67:I75)</f>
        <v>0</v>
      </c>
      <c r="J76" s="157">
        <f>I71+I72+I73+I74+I75</f>
        <v>0</v>
      </c>
      <c r="K76" s="157">
        <f>I76-J76</f>
        <v>0</v>
      </c>
      <c r="L76" s="159">
        <f>SUM(L67:L75)</f>
        <v>0</v>
      </c>
      <c r="M76" s="157">
        <f>L71+L72+L73+L74+L75</f>
        <v>0</v>
      </c>
      <c r="N76" s="157">
        <f>L76-M76</f>
        <v>0</v>
      </c>
      <c r="O76" s="159">
        <f>SUM(O67:O75)</f>
        <v>0</v>
      </c>
      <c r="P76" s="157">
        <f>O71+O72+O73+O74+O75</f>
        <v>0</v>
      </c>
      <c r="Q76" s="157">
        <f>O76-P76</f>
        <v>0</v>
      </c>
      <c r="R76" s="159">
        <f>SUM(R67:R75)</f>
        <v>0</v>
      </c>
      <c r="S76" s="157">
        <f>R71+R72+R73+R74+R75</f>
        <v>0</v>
      </c>
      <c r="T76" s="157">
        <f>R76-S76</f>
        <v>0</v>
      </c>
      <c r="U76" s="159">
        <f>SUM(U67:U75)</f>
        <v>0</v>
      </c>
      <c r="V76" s="157">
        <f>U71+U72+U73+U74+U75</f>
        <v>0</v>
      </c>
      <c r="W76" s="157">
        <f>U76-V76</f>
        <v>0</v>
      </c>
      <c r="X76" s="26"/>
      <c r="Y76" s="26"/>
      <c r="Z76" s="59"/>
      <c r="AC76" s="6"/>
      <c r="AE76" s="8"/>
    </row>
    <row r="77" spans="1:31" x14ac:dyDescent="0.25">
      <c r="A77" s="39"/>
      <c r="B77" s="39"/>
      <c r="D77" s="26"/>
      <c r="G77" s="26"/>
      <c r="J77" s="26"/>
      <c r="M77" s="26"/>
      <c r="P77" s="26"/>
      <c r="S77" s="26"/>
      <c r="U77" s="26"/>
      <c r="V77" s="26"/>
      <c r="X77" s="26"/>
      <c r="Y77" s="26"/>
      <c r="Z77" s="59"/>
      <c r="AC77" s="6"/>
      <c r="AE77" s="8"/>
    </row>
    <row r="78" spans="1:31" ht="15.75" thickBot="1" x14ac:dyDescent="0.3">
      <c r="A78" s="203"/>
      <c r="B78" s="203"/>
      <c r="D78" s="26"/>
      <c r="G78" s="26"/>
      <c r="J78" s="26"/>
      <c r="M78" s="26"/>
      <c r="P78" s="26"/>
      <c r="S78" s="26"/>
      <c r="U78" s="26"/>
      <c r="V78" s="26"/>
      <c r="X78" s="26"/>
      <c r="Y78" s="26"/>
      <c r="Z78" s="87"/>
      <c r="AC78" s="6"/>
      <c r="AE78" s="8"/>
    </row>
    <row r="79" spans="1:31" ht="30.75" thickBot="1" x14ac:dyDescent="0.3">
      <c r="A79" s="205" t="s">
        <v>4</v>
      </c>
      <c r="B79" s="206"/>
      <c r="C79" s="200" t="s">
        <v>211</v>
      </c>
      <c r="D79" s="206"/>
      <c r="E79" s="206"/>
      <c r="F79" s="200" t="s">
        <v>212</v>
      </c>
      <c r="G79" s="206"/>
      <c r="H79" s="206"/>
      <c r="I79" s="200" t="s">
        <v>213</v>
      </c>
      <c r="J79" s="206"/>
      <c r="K79" s="206"/>
      <c r="L79" s="200" t="s">
        <v>228</v>
      </c>
      <c r="M79" s="206"/>
      <c r="N79" s="206"/>
      <c r="O79" s="200" t="s">
        <v>229</v>
      </c>
      <c r="P79" s="206"/>
      <c r="Q79" s="206"/>
      <c r="R79" s="200" t="s">
        <v>230</v>
      </c>
      <c r="S79" s="206"/>
      <c r="T79" s="206"/>
      <c r="U79" s="209" t="s">
        <v>215</v>
      </c>
      <c r="V79" s="26"/>
      <c r="X79" s="74"/>
      <c r="Y79" s="26"/>
      <c r="Z79" s="87"/>
      <c r="AC79" s="6"/>
      <c r="AE79" s="8"/>
    </row>
    <row r="80" spans="1:31" x14ac:dyDescent="0.25">
      <c r="A80" s="179" t="s">
        <v>48</v>
      </c>
      <c r="B80" s="179" t="s">
        <v>37</v>
      </c>
      <c r="C80" s="163">
        <v>0</v>
      </c>
      <c r="D80" s="26"/>
      <c r="F80" s="180">
        <v>0</v>
      </c>
      <c r="G80" s="26"/>
      <c r="I80" s="180">
        <v>0</v>
      </c>
      <c r="J80" s="26"/>
      <c r="L80" s="180">
        <v>0</v>
      </c>
      <c r="M80" s="26"/>
      <c r="O80" s="180">
        <v>0</v>
      </c>
      <c r="P80" s="26"/>
      <c r="R80" s="180">
        <v>0</v>
      </c>
      <c r="S80" s="26"/>
      <c r="U80" s="181">
        <f t="shared" ref="U80:U94" si="6">C80+F80+I80+L80+O80+R80</f>
        <v>0</v>
      </c>
      <c r="V80" s="26"/>
      <c r="X80" s="74"/>
      <c r="Y80" s="26"/>
      <c r="Z80" s="87"/>
      <c r="AB80" s="26"/>
      <c r="AC80" s="6"/>
      <c r="AE80" s="8"/>
    </row>
    <row r="81" spans="1:32" x14ac:dyDescent="0.25">
      <c r="A81" s="39" t="s">
        <v>50</v>
      </c>
      <c r="B81" s="39" t="s">
        <v>61</v>
      </c>
      <c r="C81" s="163">
        <v>0</v>
      </c>
      <c r="D81" s="26"/>
      <c r="F81" s="180">
        <v>0</v>
      </c>
      <c r="G81" s="26"/>
      <c r="I81" s="180">
        <v>0</v>
      </c>
      <c r="J81" s="26"/>
      <c r="L81" s="180">
        <v>0</v>
      </c>
      <c r="M81" s="26"/>
      <c r="O81" s="180">
        <v>0</v>
      </c>
      <c r="P81" s="26"/>
      <c r="R81" s="180">
        <v>0</v>
      </c>
      <c r="S81" s="26"/>
      <c r="U81" s="181">
        <f t="shared" si="6"/>
        <v>0</v>
      </c>
      <c r="V81" s="26"/>
      <c r="X81" s="74"/>
      <c r="Y81" s="26"/>
      <c r="Z81" s="87"/>
      <c r="AB81" s="26"/>
      <c r="AE81" s="8"/>
      <c r="AF81" s="6"/>
    </row>
    <row r="82" spans="1:32" x14ac:dyDescent="0.25">
      <c r="A82" s="39" t="s">
        <v>15</v>
      </c>
      <c r="B82" s="39" t="s">
        <v>182</v>
      </c>
      <c r="C82" s="163">
        <v>123</v>
      </c>
      <c r="D82" s="167"/>
      <c r="F82" s="180">
        <v>76</v>
      </c>
      <c r="G82" s="26"/>
      <c r="I82" s="180">
        <v>0</v>
      </c>
      <c r="J82" s="26"/>
      <c r="L82" s="180">
        <v>0</v>
      </c>
      <c r="M82" s="26"/>
      <c r="O82" s="180">
        <v>0</v>
      </c>
      <c r="P82" s="26"/>
      <c r="R82" s="180">
        <v>0</v>
      </c>
      <c r="S82" s="26"/>
      <c r="U82" s="181">
        <f t="shared" si="6"/>
        <v>199</v>
      </c>
      <c r="V82" s="26"/>
      <c r="Y82" s="26"/>
      <c r="Z82" s="168"/>
      <c r="AB82" s="26"/>
      <c r="AC82" s="44"/>
    </row>
    <row r="83" spans="1:32" x14ac:dyDescent="0.25">
      <c r="A83" s="39" t="s">
        <v>48</v>
      </c>
      <c r="B83" s="39" t="s">
        <v>182</v>
      </c>
      <c r="C83" s="163">
        <v>55</v>
      </c>
      <c r="D83" s="26"/>
      <c r="F83" s="180">
        <v>24</v>
      </c>
      <c r="G83" s="26"/>
      <c r="I83" s="180">
        <v>0</v>
      </c>
      <c r="J83" s="26"/>
      <c r="L83" s="180">
        <v>0</v>
      </c>
      <c r="M83" s="26"/>
      <c r="O83" s="180">
        <v>0</v>
      </c>
      <c r="P83" s="26"/>
      <c r="R83" s="180">
        <v>0</v>
      </c>
      <c r="S83" s="26"/>
      <c r="U83" s="181">
        <f t="shared" si="6"/>
        <v>79</v>
      </c>
      <c r="V83" s="26"/>
      <c r="X83" s="74"/>
      <c r="Y83" s="26"/>
      <c r="Z83" s="87"/>
    </row>
    <row r="84" spans="1:32" x14ac:dyDescent="0.25">
      <c r="A84" s="39" t="s">
        <v>50</v>
      </c>
      <c r="B84" s="39" t="s">
        <v>201</v>
      </c>
      <c r="C84" s="163">
        <v>80</v>
      </c>
      <c r="D84" s="26"/>
      <c r="F84" s="180">
        <v>0</v>
      </c>
      <c r="G84" s="26"/>
      <c r="I84" s="180">
        <v>0</v>
      </c>
      <c r="J84" s="26"/>
      <c r="L84" s="180">
        <v>0</v>
      </c>
      <c r="M84" s="26"/>
      <c r="O84" s="180">
        <v>0</v>
      </c>
      <c r="P84" s="26"/>
      <c r="R84" s="180">
        <v>0</v>
      </c>
      <c r="S84" s="26"/>
      <c r="U84" s="181">
        <f t="shared" si="6"/>
        <v>80</v>
      </c>
      <c r="V84" s="26"/>
      <c r="X84" s="74"/>
      <c r="Y84" s="26"/>
      <c r="Z84" s="87"/>
    </row>
    <row r="85" spans="1:32" x14ac:dyDescent="0.25">
      <c r="A85" s="39" t="s">
        <v>49</v>
      </c>
      <c r="B85" s="39" t="s">
        <v>183</v>
      </c>
      <c r="C85" s="163">
        <v>80</v>
      </c>
      <c r="D85" s="26"/>
      <c r="F85" s="180">
        <v>58</v>
      </c>
      <c r="G85" s="26"/>
      <c r="I85" s="180">
        <v>0</v>
      </c>
      <c r="J85" s="26"/>
      <c r="L85" s="180">
        <v>0</v>
      </c>
      <c r="M85" s="26"/>
      <c r="O85" s="180">
        <v>0</v>
      </c>
      <c r="P85" s="26"/>
      <c r="R85" s="180">
        <v>0</v>
      </c>
      <c r="S85" s="26"/>
      <c r="U85" s="181">
        <f t="shared" si="6"/>
        <v>138</v>
      </c>
      <c r="V85" s="26"/>
      <c r="X85" s="74"/>
      <c r="Y85" s="26"/>
      <c r="Z85" s="87"/>
    </row>
    <row r="86" spans="1:32" x14ac:dyDescent="0.25">
      <c r="A86" s="39" t="s">
        <v>49</v>
      </c>
      <c r="B86" s="39" t="s">
        <v>208</v>
      </c>
      <c r="C86" s="163">
        <v>1</v>
      </c>
      <c r="D86" s="26"/>
      <c r="F86" s="180">
        <v>0</v>
      </c>
      <c r="G86" s="26"/>
      <c r="I86" s="180">
        <v>0</v>
      </c>
      <c r="J86" s="26"/>
      <c r="L86" s="180">
        <v>0</v>
      </c>
      <c r="M86" s="26"/>
      <c r="O86" s="180">
        <v>0</v>
      </c>
      <c r="P86" s="26"/>
      <c r="R86" s="180">
        <v>0</v>
      </c>
      <c r="S86" s="26"/>
      <c r="U86" s="181">
        <f t="shared" si="6"/>
        <v>1</v>
      </c>
      <c r="V86" s="26"/>
      <c r="X86" s="167"/>
      <c r="Z86" s="87"/>
    </row>
    <row r="87" spans="1:32" x14ac:dyDescent="0.25">
      <c r="A87" s="39" t="s">
        <v>49</v>
      </c>
      <c r="B87" s="39" t="s">
        <v>199</v>
      </c>
      <c r="C87" s="163">
        <v>0</v>
      </c>
      <c r="D87" s="26"/>
      <c r="F87" s="180">
        <v>0</v>
      </c>
      <c r="G87" s="26"/>
      <c r="I87" s="180">
        <v>0</v>
      </c>
      <c r="J87" s="26"/>
      <c r="L87" s="180">
        <v>0</v>
      </c>
      <c r="M87" s="26"/>
      <c r="O87" s="180">
        <v>0</v>
      </c>
      <c r="P87" s="26"/>
      <c r="R87" s="180">
        <v>0</v>
      </c>
      <c r="S87" s="26"/>
      <c r="U87" s="181">
        <f t="shared" si="6"/>
        <v>0</v>
      </c>
      <c r="V87" s="26"/>
      <c r="X87" s="167"/>
      <c r="Z87" s="87"/>
    </row>
    <row r="88" spans="1:32" x14ac:dyDescent="0.25">
      <c r="A88" s="39" t="s">
        <v>49</v>
      </c>
      <c r="B88" s="39" t="s">
        <v>200</v>
      </c>
      <c r="C88" s="163">
        <v>0</v>
      </c>
      <c r="D88" s="26"/>
      <c r="F88" s="180">
        <v>0</v>
      </c>
      <c r="G88" s="26"/>
      <c r="I88" s="180">
        <v>0</v>
      </c>
      <c r="J88" s="26"/>
      <c r="L88" s="180">
        <v>0</v>
      </c>
      <c r="M88" s="26"/>
      <c r="O88" s="180">
        <v>0</v>
      </c>
      <c r="P88" s="26"/>
      <c r="R88" s="180">
        <v>0</v>
      </c>
      <c r="S88" s="26"/>
      <c r="U88" s="181">
        <f t="shared" si="6"/>
        <v>0</v>
      </c>
      <c r="V88" s="26"/>
      <c r="X88" s="167"/>
      <c r="Z88" s="87"/>
    </row>
    <row r="89" spans="1:32" x14ac:dyDescent="0.25">
      <c r="A89" s="39" t="s">
        <v>49</v>
      </c>
      <c r="B89" s="39" t="s">
        <v>37</v>
      </c>
      <c r="C89" s="163">
        <v>1</v>
      </c>
      <c r="D89" s="26"/>
      <c r="F89" s="180">
        <v>1</v>
      </c>
      <c r="G89" s="26"/>
      <c r="I89" s="180">
        <v>0</v>
      </c>
      <c r="J89" s="26"/>
      <c r="L89" s="180">
        <v>0</v>
      </c>
      <c r="M89" s="26"/>
      <c r="O89" s="180">
        <v>0</v>
      </c>
      <c r="P89" s="26"/>
      <c r="R89" s="180">
        <v>0</v>
      </c>
      <c r="S89" s="26"/>
      <c r="U89" s="181">
        <f t="shared" si="6"/>
        <v>2</v>
      </c>
      <c r="V89" s="26"/>
      <c r="X89" s="167"/>
      <c r="Z89" s="87"/>
    </row>
    <row r="90" spans="1:32" x14ac:dyDescent="0.25">
      <c r="A90" s="39" t="s">
        <v>184</v>
      </c>
      <c r="B90" s="39" t="s">
        <v>183</v>
      </c>
      <c r="C90" s="163">
        <v>62</v>
      </c>
      <c r="D90" s="26"/>
      <c r="F90" s="180">
        <v>81</v>
      </c>
      <c r="G90" s="26"/>
      <c r="I90" s="180">
        <v>0</v>
      </c>
      <c r="J90" s="26"/>
      <c r="L90" s="180">
        <v>0</v>
      </c>
      <c r="M90" s="26"/>
      <c r="O90" s="180">
        <v>0</v>
      </c>
      <c r="P90" s="26"/>
      <c r="R90" s="180">
        <v>0</v>
      </c>
      <c r="S90" s="26"/>
      <c r="U90" s="181">
        <f t="shared" si="6"/>
        <v>143</v>
      </c>
      <c r="V90" s="26"/>
      <c r="X90" s="74"/>
      <c r="Y90" s="26"/>
      <c r="Z90" s="87"/>
    </row>
    <row r="91" spans="1:32" x14ac:dyDescent="0.25">
      <c r="A91" s="39" t="s">
        <v>184</v>
      </c>
      <c r="B91" s="39" t="s">
        <v>199</v>
      </c>
      <c r="C91" s="163">
        <v>0</v>
      </c>
      <c r="D91" s="26"/>
      <c r="F91" s="180">
        <v>0</v>
      </c>
      <c r="G91" s="26"/>
      <c r="I91" s="180">
        <v>0</v>
      </c>
      <c r="J91" s="26"/>
      <c r="L91" s="180">
        <v>0</v>
      </c>
      <c r="M91" s="26"/>
      <c r="O91" s="180">
        <v>0</v>
      </c>
      <c r="P91" s="26"/>
      <c r="R91" s="180">
        <v>0</v>
      </c>
      <c r="S91" s="26"/>
      <c r="U91" s="181">
        <f t="shared" si="6"/>
        <v>0</v>
      </c>
      <c r="V91" s="26"/>
      <c r="X91" s="74"/>
      <c r="Y91" s="26"/>
      <c r="Z91" s="87"/>
    </row>
    <row r="92" spans="1:32" x14ac:dyDescent="0.25">
      <c r="A92" s="39" t="s">
        <v>184</v>
      </c>
      <c r="B92" s="39" t="s">
        <v>37</v>
      </c>
      <c r="C92" s="163">
        <v>3</v>
      </c>
      <c r="D92" s="26"/>
      <c r="F92" s="180">
        <v>0</v>
      </c>
      <c r="G92" s="26"/>
      <c r="I92" s="180">
        <v>0</v>
      </c>
      <c r="J92" s="26"/>
      <c r="L92" s="180">
        <v>0</v>
      </c>
      <c r="M92" s="26"/>
      <c r="O92" s="180">
        <v>0</v>
      </c>
      <c r="P92" s="26"/>
      <c r="R92" s="180">
        <v>0</v>
      </c>
      <c r="S92" s="26"/>
      <c r="U92" s="181">
        <f t="shared" si="6"/>
        <v>3</v>
      </c>
      <c r="V92" s="26"/>
      <c r="X92" s="74"/>
      <c r="Y92" s="26"/>
      <c r="Z92" s="87"/>
    </row>
    <row r="93" spans="1:32" x14ac:dyDescent="0.25">
      <c r="A93" s="39" t="s">
        <v>184</v>
      </c>
      <c r="B93" s="39" t="s">
        <v>185</v>
      </c>
      <c r="C93" s="163">
        <v>0</v>
      </c>
      <c r="D93" s="26"/>
      <c r="F93" s="180">
        <v>0</v>
      </c>
      <c r="G93" s="26"/>
      <c r="I93" s="180">
        <v>0</v>
      </c>
      <c r="J93" s="26"/>
      <c r="L93" s="180">
        <v>0</v>
      </c>
      <c r="M93" s="26"/>
      <c r="O93" s="180">
        <v>0</v>
      </c>
      <c r="P93" s="26"/>
      <c r="R93" s="180">
        <v>0</v>
      </c>
      <c r="S93" s="26"/>
      <c r="U93" s="181">
        <f t="shared" si="6"/>
        <v>0</v>
      </c>
      <c r="V93" s="26"/>
      <c r="X93" s="74"/>
      <c r="Y93" s="26"/>
      <c r="Z93" s="87"/>
    </row>
    <row r="94" spans="1:32" x14ac:dyDescent="0.25">
      <c r="A94" s="39" t="s">
        <v>184</v>
      </c>
      <c r="B94" s="39" t="s">
        <v>56</v>
      </c>
      <c r="C94" s="163">
        <v>0</v>
      </c>
      <c r="D94" s="92" t="s">
        <v>84</v>
      </c>
      <c r="E94" s="92" t="s">
        <v>85</v>
      </c>
      <c r="F94" s="180">
        <v>0</v>
      </c>
      <c r="G94" s="92" t="s">
        <v>84</v>
      </c>
      <c r="H94" s="92" t="s">
        <v>85</v>
      </c>
      <c r="I94" s="180">
        <v>0</v>
      </c>
      <c r="J94" s="92" t="s">
        <v>84</v>
      </c>
      <c r="K94" s="92" t="s">
        <v>85</v>
      </c>
      <c r="L94" s="180">
        <v>0</v>
      </c>
      <c r="M94" s="92" t="s">
        <v>84</v>
      </c>
      <c r="N94" s="92" t="s">
        <v>85</v>
      </c>
      <c r="O94" s="180">
        <v>0</v>
      </c>
      <c r="P94" s="92" t="s">
        <v>84</v>
      </c>
      <c r="Q94" s="92" t="s">
        <v>85</v>
      </c>
      <c r="R94" s="180">
        <v>0</v>
      </c>
      <c r="S94" s="92" t="s">
        <v>84</v>
      </c>
      <c r="T94" s="92" t="s">
        <v>85</v>
      </c>
      <c r="U94" s="181">
        <f t="shared" si="6"/>
        <v>0</v>
      </c>
      <c r="V94" s="208" t="s">
        <v>84</v>
      </c>
      <c r="W94" s="208" t="s">
        <v>85</v>
      </c>
      <c r="Z94" s="168"/>
      <c r="AE94" s="8"/>
      <c r="AF94" s="6"/>
    </row>
    <row r="95" spans="1:32" x14ac:dyDescent="0.25">
      <c r="A95" s="89" t="s">
        <v>53</v>
      </c>
      <c r="B95" s="160"/>
      <c r="C95" s="159">
        <f>SUM(C80:C94)</f>
        <v>405</v>
      </c>
      <c r="D95" s="157">
        <f>SUM(C80:C94)</f>
        <v>405</v>
      </c>
      <c r="E95" s="157">
        <f>C95-D95</f>
        <v>0</v>
      </c>
      <c r="F95" s="159">
        <f>SUM(F80:F94)</f>
        <v>240</v>
      </c>
      <c r="G95" s="157">
        <f>SUM(F80:F94)</f>
        <v>240</v>
      </c>
      <c r="H95" s="157">
        <f>F95-G95</f>
        <v>0</v>
      </c>
      <c r="I95" s="159">
        <f>SUM(I80:I94)</f>
        <v>0</v>
      </c>
      <c r="J95" s="157">
        <f>SUM(I80:I94)</f>
        <v>0</v>
      </c>
      <c r="K95" s="157">
        <f>I95-J95</f>
        <v>0</v>
      </c>
      <c r="L95" s="159">
        <f>SUM(L80:L94)</f>
        <v>0</v>
      </c>
      <c r="M95" s="157">
        <f>SUM(L80:L94)</f>
        <v>0</v>
      </c>
      <c r="N95" s="157">
        <f>L95-M95</f>
        <v>0</v>
      </c>
      <c r="O95" s="159">
        <f>SUM(O80:O94)</f>
        <v>0</v>
      </c>
      <c r="P95" s="157">
        <f>SUM(O80:O94)</f>
        <v>0</v>
      </c>
      <c r="Q95" s="157">
        <f>O95-P95</f>
        <v>0</v>
      </c>
      <c r="R95" s="159">
        <f>SUM(R80:R94)</f>
        <v>0</v>
      </c>
      <c r="S95" s="157">
        <f>SUM(R80:R94)</f>
        <v>0</v>
      </c>
      <c r="T95" s="157">
        <f>R95-S95</f>
        <v>0</v>
      </c>
      <c r="U95" s="159">
        <f>SUM(U80:U94)</f>
        <v>645</v>
      </c>
      <c r="V95" s="157">
        <f>SUM(U80:U94)</f>
        <v>645</v>
      </c>
      <c r="W95" s="157">
        <f>U95-V95</f>
        <v>0</v>
      </c>
      <c r="Z95" s="87"/>
      <c r="AC95" s="6"/>
      <c r="AE95" s="8"/>
    </row>
    <row r="96" spans="1:32" x14ac:dyDescent="0.25">
      <c r="A96" s="75"/>
      <c r="B96" s="75"/>
      <c r="D96" s="26"/>
      <c r="G96" s="26"/>
      <c r="J96" s="26"/>
      <c r="M96" s="26"/>
      <c r="P96" s="26"/>
      <c r="S96" s="26"/>
      <c r="U96" s="26"/>
      <c r="V96" s="26"/>
      <c r="Z96" s="87"/>
      <c r="AC96" s="6"/>
      <c r="AE96" s="8"/>
    </row>
    <row r="97" spans="1:31" ht="15.75" thickBot="1" x14ac:dyDescent="0.3">
      <c r="A97" s="75"/>
      <c r="B97" s="75"/>
      <c r="D97" s="26"/>
      <c r="E97" s="26"/>
      <c r="G97" s="26"/>
      <c r="H97" s="26"/>
      <c r="J97" s="26"/>
      <c r="K97" s="26"/>
      <c r="M97" s="26"/>
      <c r="N97" s="26"/>
      <c r="P97" s="26"/>
      <c r="Q97" s="26"/>
      <c r="S97" s="26"/>
      <c r="T97" s="26"/>
      <c r="U97" s="26"/>
      <c r="V97" s="26"/>
      <c r="W97" s="26"/>
      <c r="Z97" s="26"/>
      <c r="AC97" s="6"/>
      <c r="AE97" s="8"/>
    </row>
    <row r="98" spans="1:31" ht="30.75" thickBot="1" x14ac:dyDescent="0.3">
      <c r="A98" s="198" t="s">
        <v>27</v>
      </c>
      <c r="B98" s="198" t="s">
        <v>35</v>
      </c>
      <c r="C98" s="200" t="s">
        <v>211</v>
      </c>
      <c r="D98" s="206"/>
      <c r="E98" s="206"/>
      <c r="F98" s="200" t="s">
        <v>212</v>
      </c>
      <c r="G98" s="206"/>
      <c r="H98" s="206"/>
      <c r="I98" s="200" t="s">
        <v>213</v>
      </c>
      <c r="J98" s="206"/>
      <c r="K98" s="206"/>
      <c r="L98" s="200" t="s">
        <v>228</v>
      </c>
      <c r="M98" s="206"/>
      <c r="N98" s="206"/>
      <c r="O98" s="200" t="s">
        <v>229</v>
      </c>
      <c r="P98" s="206"/>
      <c r="Q98" s="206"/>
      <c r="R98" s="200" t="s">
        <v>230</v>
      </c>
      <c r="S98" s="206"/>
      <c r="T98" s="206"/>
      <c r="U98" s="209" t="s">
        <v>215</v>
      </c>
      <c r="V98" s="26"/>
      <c r="W98" s="26"/>
      <c r="Y98" s="26"/>
      <c r="Z98" s="26"/>
      <c r="AE98" s="8"/>
    </row>
    <row r="99" spans="1:31" x14ac:dyDescent="0.25">
      <c r="A99" s="39" t="s">
        <v>177</v>
      </c>
      <c r="B99" t="s">
        <v>164</v>
      </c>
      <c r="C99" s="180">
        <v>0</v>
      </c>
      <c r="D99" s="26"/>
      <c r="E99" s="74"/>
      <c r="F99" s="182">
        <v>0</v>
      </c>
      <c r="G99" s="26"/>
      <c r="H99" s="74"/>
      <c r="I99" s="182">
        <v>0</v>
      </c>
      <c r="J99" s="26"/>
      <c r="K99" s="74"/>
      <c r="L99" s="182">
        <v>0</v>
      </c>
      <c r="M99" s="26"/>
      <c r="N99" s="74"/>
      <c r="O99" s="182">
        <v>0</v>
      </c>
      <c r="P99" s="26"/>
      <c r="Q99" s="74"/>
      <c r="R99" s="182">
        <v>0</v>
      </c>
      <c r="S99" s="26"/>
      <c r="T99" s="74"/>
      <c r="U99" s="181">
        <f t="shared" ref="U99:U134" si="7">C99+F99+I99</f>
        <v>0</v>
      </c>
      <c r="V99" s="26"/>
      <c r="W99" s="74"/>
      <c r="Y99" s="26"/>
      <c r="Z99" s="26"/>
      <c r="AE99" s="8"/>
    </row>
    <row r="100" spans="1:31" x14ac:dyDescent="0.25">
      <c r="A100" s="39" t="s">
        <v>177</v>
      </c>
      <c r="B100" s="41" t="s">
        <v>145</v>
      </c>
      <c r="C100" s="180">
        <v>0</v>
      </c>
      <c r="D100" s="26"/>
      <c r="E100" s="74"/>
      <c r="F100" s="182">
        <v>0</v>
      </c>
      <c r="G100" s="26"/>
      <c r="H100" s="74"/>
      <c r="I100" s="182">
        <v>0</v>
      </c>
      <c r="J100" s="26"/>
      <c r="K100" s="74"/>
      <c r="L100" s="182">
        <v>0</v>
      </c>
      <c r="M100" s="26"/>
      <c r="N100" s="74"/>
      <c r="O100" s="182">
        <v>0</v>
      </c>
      <c r="P100" s="26"/>
      <c r="Q100" s="74"/>
      <c r="R100" s="182">
        <v>0</v>
      </c>
      <c r="S100" s="26"/>
      <c r="T100" s="74"/>
      <c r="U100" s="181">
        <f t="shared" si="7"/>
        <v>0</v>
      </c>
      <c r="V100" s="26"/>
      <c r="W100" s="74"/>
      <c r="Y100" s="26"/>
      <c r="Z100" s="26"/>
      <c r="AE100" s="8"/>
    </row>
    <row r="101" spans="1:31" x14ac:dyDescent="0.25">
      <c r="A101" s="39" t="s">
        <v>177</v>
      </c>
      <c r="B101" s="41" t="s">
        <v>147</v>
      </c>
      <c r="C101" s="180">
        <v>0</v>
      </c>
      <c r="D101" s="26"/>
      <c r="E101" s="74"/>
      <c r="F101" s="182">
        <v>0</v>
      </c>
      <c r="G101" s="26"/>
      <c r="H101" s="74"/>
      <c r="I101" s="182">
        <v>0</v>
      </c>
      <c r="J101" s="26"/>
      <c r="K101" s="74"/>
      <c r="L101" s="182">
        <v>0</v>
      </c>
      <c r="M101" s="26"/>
      <c r="N101" s="74"/>
      <c r="O101" s="182">
        <v>0</v>
      </c>
      <c r="P101" s="26"/>
      <c r="Q101" s="74"/>
      <c r="R101" s="182">
        <v>0</v>
      </c>
      <c r="S101" s="26"/>
      <c r="T101" s="74"/>
      <c r="U101" s="181">
        <f t="shared" si="7"/>
        <v>0</v>
      </c>
      <c r="V101" s="26"/>
      <c r="W101" s="74"/>
      <c r="Y101" s="26"/>
      <c r="Z101" s="26"/>
      <c r="AE101" s="8"/>
    </row>
    <row r="102" spans="1:31" x14ac:dyDescent="0.25">
      <c r="A102" s="39" t="s">
        <v>177</v>
      </c>
      <c r="B102" s="41" t="s">
        <v>149</v>
      </c>
      <c r="C102" s="180">
        <v>0</v>
      </c>
      <c r="D102" s="26"/>
      <c r="E102" s="74"/>
      <c r="F102" s="182">
        <v>0</v>
      </c>
      <c r="G102" s="26"/>
      <c r="H102" s="74"/>
      <c r="I102" s="182">
        <v>0</v>
      </c>
      <c r="J102" s="26"/>
      <c r="K102" s="74"/>
      <c r="L102" s="182">
        <v>0</v>
      </c>
      <c r="M102" s="26"/>
      <c r="N102" s="74"/>
      <c r="O102" s="182">
        <v>0</v>
      </c>
      <c r="P102" s="26"/>
      <c r="Q102" s="74"/>
      <c r="R102" s="182">
        <v>0</v>
      </c>
      <c r="S102" s="26"/>
      <c r="T102" s="74"/>
      <c r="U102" s="181">
        <f t="shared" si="7"/>
        <v>0</v>
      </c>
      <c r="V102" s="26"/>
      <c r="W102" s="74"/>
      <c r="Y102" s="26"/>
      <c r="Z102" s="26"/>
      <c r="AE102" s="8"/>
    </row>
    <row r="103" spans="1:31" x14ac:dyDescent="0.25">
      <c r="A103" s="39" t="s">
        <v>177</v>
      </c>
      <c r="B103" s="41" t="s">
        <v>155</v>
      </c>
      <c r="C103" s="180">
        <v>0</v>
      </c>
      <c r="D103" s="26"/>
      <c r="E103" s="74"/>
      <c r="F103" s="182">
        <v>0</v>
      </c>
      <c r="G103" s="26"/>
      <c r="H103" s="74"/>
      <c r="I103" s="182">
        <v>0</v>
      </c>
      <c r="J103" s="26"/>
      <c r="K103" s="74"/>
      <c r="L103" s="182">
        <v>0</v>
      </c>
      <c r="M103" s="26"/>
      <c r="N103" s="74"/>
      <c r="O103" s="182">
        <v>0</v>
      </c>
      <c r="P103" s="26"/>
      <c r="Q103" s="74"/>
      <c r="R103" s="182">
        <v>0</v>
      </c>
      <c r="S103" s="26"/>
      <c r="T103" s="74"/>
      <c r="U103" s="181">
        <f t="shared" si="7"/>
        <v>0</v>
      </c>
      <c r="V103" s="26"/>
      <c r="W103" s="74"/>
      <c r="Y103" s="26"/>
      <c r="Z103" s="26"/>
      <c r="AE103" s="8"/>
    </row>
    <row r="104" spans="1:31" x14ac:dyDescent="0.25">
      <c r="A104" s="39" t="s">
        <v>177</v>
      </c>
      <c r="B104" s="41" t="s">
        <v>157</v>
      </c>
      <c r="C104" s="180">
        <v>0</v>
      </c>
      <c r="D104" s="26"/>
      <c r="E104" s="74"/>
      <c r="F104" s="182">
        <v>0</v>
      </c>
      <c r="G104" s="26"/>
      <c r="H104" s="74"/>
      <c r="I104" s="182">
        <v>0</v>
      </c>
      <c r="J104" s="26"/>
      <c r="K104" s="74"/>
      <c r="L104" s="182">
        <v>0</v>
      </c>
      <c r="M104" s="26"/>
      <c r="N104" s="74"/>
      <c r="O104" s="182">
        <v>0</v>
      </c>
      <c r="P104" s="26"/>
      <c r="Q104" s="74"/>
      <c r="R104" s="182">
        <v>0</v>
      </c>
      <c r="S104" s="26"/>
      <c r="T104" s="74"/>
      <c r="U104" s="181">
        <f t="shared" si="7"/>
        <v>0</v>
      </c>
      <c r="V104" s="26"/>
      <c r="W104" s="74"/>
      <c r="Y104" s="26"/>
      <c r="Z104" s="26"/>
      <c r="AE104" s="8"/>
    </row>
    <row r="105" spans="1:31" x14ac:dyDescent="0.25">
      <c r="A105" s="39" t="s">
        <v>177</v>
      </c>
      <c r="B105" s="41" t="s">
        <v>202</v>
      </c>
      <c r="C105" s="180">
        <v>0</v>
      </c>
      <c r="D105" s="26"/>
      <c r="E105" s="74"/>
      <c r="F105" s="182">
        <v>0</v>
      </c>
      <c r="G105" s="26"/>
      <c r="H105" s="74"/>
      <c r="I105" s="182">
        <v>0</v>
      </c>
      <c r="J105" s="26"/>
      <c r="K105" s="74"/>
      <c r="L105" s="182">
        <v>0</v>
      </c>
      <c r="M105" s="26"/>
      <c r="N105" s="74"/>
      <c r="O105" s="182">
        <v>0</v>
      </c>
      <c r="P105" s="26"/>
      <c r="Q105" s="74"/>
      <c r="R105" s="182">
        <v>0</v>
      </c>
      <c r="S105" s="26"/>
      <c r="T105" s="74"/>
      <c r="U105" s="181">
        <f t="shared" si="7"/>
        <v>0</v>
      </c>
      <c r="V105" s="26"/>
      <c r="W105" s="74"/>
      <c r="Y105" s="26"/>
      <c r="Z105" s="26"/>
      <c r="AE105" s="8"/>
    </row>
    <row r="106" spans="1:31" x14ac:dyDescent="0.25">
      <c r="A106" s="203" t="s">
        <v>177</v>
      </c>
      <c r="B106" s="218" t="s">
        <v>158</v>
      </c>
      <c r="C106" s="217">
        <v>0</v>
      </c>
      <c r="D106" s="26"/>
      <c r="E106" s="74"/>
      <c r="F106" s="229">
        <v>0</v>
      </c>
      <c r="G106" s="26"/>
      <c r="H106" s="74"/>
      <c r="I106" s="229">
        <v>0</v>
      </c>
      <c r="J106" s="26"/>
      <c r="K106" s="74"/>
      <c r="L106" s="229">
        <v>0</v>
      </c>
      <c r="M106" s="26"/>
      <c r="N106" s="74"/>
      <c r="O106" s="229">
        <v>0</v>
      </c>
      <c r="P106" s="26"/>
      <c r="Q106" s="74"/>
      <c r="R106" s="229">
        <v>0</v>
      </c>
      <c r="S106" s="26"/>
      <c r="T106" s="74"/>
      <c r="U106" s="220">
        <f t="shared" si="7"/>
        <v>0</v>
      </c>
      <c r="V106" s="26"/>
      <c r="W106" s="74"/>
      <c r="Y106" s="26"/>
      <c r="Z106" s="26"/>
      <c r="AE106" s="8"/>
    </row>
    <row r="107" spans="1:31" x14ac:dyDescent="0.25">
      <c r="A107" s="221"/>
      <c r="B107" s="231"/>
      <c r="C107" s="222"/>
      <c r="D107" s="232"/>
      <c r="E107" s="233"/>
      <c r="F107" s="228"/>
      <c r="G107" s="232"/>
      <c r="H107" s="233"/>
      <c r="I107" s="228"/>
      <c r="J107" s="232"/>
      <c r="K107" s="233"/>
      <c r="L107" s="228"/>
      <c r="M107" s="232"/>
      <c r="N107" s="233"/>
      <c r="O107" s="228"/>
      <c r="P107" s="232"/>
      <c r="Q107" s="233"/>
      <c r="R107" s="228"/>
      <c r="S107" s="232"/>
      <c r="T107" s="233"/>
      <c r="U107" s="225"/>
      <c r="V107" s="26"/>
      <c r="W107" s="74"/>
      <c r="Y107" s="26"/>
      <c r="Z107" s="26"/>
      <c r="AE107" s="8"/>
    </row>
    <row r="108" spans="1:31" x14ac:dyDescent="0.25">
      <c r="A108" s="179" t="s">
        <v>16</v>
      </c>
      <c r="B108" t="s">
        <v>164</v>
      </c>
      <c r="C108" s="180">
        <v>0</v>
      </c>
      <c r="D108" s="26"/>
      <c r="E108" s="74"/>
      <c r="F108" s="230">
        <v>0</v>
      </c>
      <c r="G108" s="26"/>
      <c r="H108" s="74"/>
      <c r="I108" s="230">
        <v>0</v>
      </c>
      <c r="J108" s="26"/>
      <c r="K108" s="74"/>
      <c r="L108" s="230">
        <v>0</v>
      </c>
      <c r="M108" s="26"/>
      <c r="N108" s="74"/>
      <c r="O108" s="230">
        <v>0</v>
      </c>
      <c r="P108" s="26"/>
      <c r="Q108" s="74"/>
      <c r="R108" s="230">
        <v>0</v>
      </c>
      <c r="S108" s="26"/>
      <c r="T108" s="74"/>
      <c r="U108" s="181">
        <f t="shared" si="7"/>
        <v>0</v>
      </c>
      <c r="V108" s="26"/>
      <c r="W108" s="74"/>
      <c r="Y108" s="26"/>
      <c r="Z108" s="26"/>
      <c r="AB108" s="59"/>
      <c r="AE108" s="8"/>
    </row>
    <row r="109" spans="1:31" x14ac:dyDescent="0.25">
      <c r="A109" s="39" t="s">
        <v>16</v>
      </c>
      <c r="B109" s="41" t="s">
        <v>145</v>
      </c>
      <c r="C109" s="180">
        <v>0</v>
      </c>
      <c r="D109" s="26"/>
      <c r="E109" s="74"/>
      <c r="F109" s="182">
        <v>0</v>
      </c>
      <c r="G109" s="26"/>
      <c r="H109" s="74"/>
      <c r="I109" s="182">
        <v>0</v>
      </c>
      <c r="J109" s="26"/>
      <c r="K109" s="74"/>
      <c r="L109" s="182">
        <v>0</v>
      </c>
      <c r="M109" s="26"/>
      <c r="N109" s="74"/>
      <c r="O109" s="182">
        <v>0</v>
      </c>
      <c r="P109" s="26"/>
      <c r="Q109" s="74"/>
      <c r="R109" s="182">
        <v>0</v>
      </c>
      <c r="S109" s="26"/>
      <c r="T109" s="74"/>
      <c r="U109" s="181">
        <f t="shared" si="7"/>
        <v>0</v>
      </c>
      <c r="V109" s="26"/>
      <c r="W109" s="74"/>
      <c r="Y109" s="26"/>
      <c r="Z109" s="26"/>
      <c r="AB109" s="26"/>
      <c r="AE109" s="8"/>
    </row>
    <row r="110" spans="1:31" x14ac:dyDescent="0.25">
      <c r="A110" s="39" t="s">
        <v>16</v>
      </c>
      <c r="B110" s="41" t="s">
        <v>146</v>
      </c>
      <c r="C110" s="180">
        <v>0</v>
      </c>
      <c r="D110" s="26"/>
      <c r="E110" s="74"/>
      <c r="F110" s="182">
        <v>0</v>
      </c>
      <c r="G110" s="26"/>
      <c r="H110" s="74"/>
      <c r="I110" s="182">
        <v>0</v>
      </c>
      <c r="J110" s="26"/>
      <c r="K110" s="74"/>
      <c r="L110" s="182">
        <v>0</v>
      </c>
      <c r="M110" s="26"/>
      <c r="N110" s="74"/>
      <c r="O110" s="182">
        <v>0</v>
      </c>
      <c r="P110" s="26"/>
      <c r="Q110" s="74"/>
      <c r="R110" s="182">
        <v>0</v>
      </c>
      <c r="S110" s="26"/>
      <c r="T110" s="74"/>
      <c r="U110" s="181">
        <f t="shared" si="7"/>
        <v>0</v>
      </c>
      <c r="V110" s="26"/>
      <c r="W110" s="74"/>
      <c r="Y110" s="26"/>
      <c r="Z110" s="26"/>
      <c r="AB110" s="26"/>
      <c r="AE110" s="8"/>
    </row>
    <row r="111" spans="1:31" x14ac:dyDescent="0.25">
      <c r="A111" s="39" t="s">
        <v>16</v>
      </c>
      <c r="B111" s="41" t="s">
        <v>147</v>
      </c>
      <c r="C111" s="180">
        <v>0</v>
      </c>
      <c r="D111" s="26"/>
      <c r="E111" s="74"/>
      <c r="F111" s="182">
        <v>0</v>
      </c>
      <c r="G111" s="26"/>
      <c r="H111" s="74"/>
      <c r="I111" s="182">
        <v>0</v>
      </c>
      <c r="J111" s="26"/>
      <c r="K111" s="74"/>
      <c r="L111" s="182">
        <v>0</v>
      </c>
      <c r="M111" s="26"/>
      <c r="N111" s="74"/>
      <c r="O111" s="182">
        <v>0</v>
      </c>
      <c r="P111" s="26"/>
      <c r="Q111" s="74"/>
      <c r="R111" s="182">
        <v>0</v>
      </c>
      <c r="S111" s="26"/>
      <c r="T111" s="74"/>
      <c r="U111" s="181">
        <f t="shared" si="7"/>
        <v>0</v>
      </c>
      <c r="V111" s="26"/>
      <c r="W111" s="74"/>
      <c r="Y111" s="26"/>
      <c r="Z111" s="26"/>
      <c r="AB111" s="26"/>
      <c r="AE111" s="8"/>
    </row>
    <row r="112" spans="1:31" x14ac:dyDescent="0.25">
      <c r="A112" s="39" t="s">
        <v>16</v>
      </c>
      <c r="B112" s="41" t="s">
        <v>148</v>
      </c>
      <c r="C112" s="180">
        <v>0</v>
      </c>
      <c r="D112" s="26"/>
      <c r="E112" s="74"/>
      <c r="F112" s="182">
        <v>0</v>
      </c>
      <c r="G112" s="26"/>
      <c r="H112" s="74"/>
      <c r="I112" s="182">
        <v>0</v>
      </c>
      <c r="J112" s="26"/>
      <c r="K112" s="74"/>
      <c r="L112" s="182">
        <v>0</v>
      </c>
      <c r="M112" s="26"/>
      <c r="N112" s="74"/>
      <c r="O112" s="182">
        <v>0</v>
      </c>
      <c r="P112" s="26"/>
      <c r="Q112" s="74"/>
      <c r="R112" s="182">
        <v>0</v>
      </c>
      <c r="S112" s="26"/>
      <c r="T112" s="74"/>
      <c r="U112" s="181">
        <f t="shared" si="7"/>
        <v>0</v>
      </c>
      <c r="V112" s="26"/>
      <c r="W112" s="74"/>
      <c r="Y112" s="26"/>
      <c r="Z112" s="26"/>
      <c r="AB112" s="26"/>
      <c r="AE112" s="8"/>
    </row>
    <row r="113" spans="1:31" x14ac:dyDescent="0.25">
      <c r="A113" s="39" t="s">
        <v>16</v>
      </c>
      <c r="B113" s="41" t="s">
        <v>149</v>
      </c>
      <c r="C113" s="180">
        <v>0</v>
      </c>
      <c r="D113" s="26"/>
      <c r="E113" s="74"/>
      <c r="F113" s="182">
        <v>0</v>
      </c>
      <c r="G113" s="26"/>
      <c r="H113" s="74"/>
      <c r="I113" s="182">
        <v>0</v>
      </c>
      <c r="J113" s="26"/>
      <c r="K113" s="74"/>
      <c r="L113" s="182">
        <v>0</v>
      </c>
      <c r="M113" s="26"/>
      <c r="N113" s="74"/>
      <c r="O113" s="182">
        <v>0</v>
      </c>
      <c r="P113" s="26"/>
      <c r="Q113" s="74"/>
      <c r="R113" s="182">
        <v>0</v>
      </c>
      <c r="S113" s="26"/>
      <c r="T113" s="74"/>
      <c r="U113" s="181">
        <f t="shared" si="7"/>
        <v>0</v>
      </c>
      <c r="V113" s="26"/>
      <c r="W113" s="74"/>
      <c r="Y113" s="26"/>
      <c r="Z113" s="26"/>
      <c r="AB113" s="26"/>
      <c r="AE113" s="8"/>
    </row>
    <row r="114" spans="1:31" x14ac:dyDescent="0.25">
      <c r="A114" s="39" t="s">
        <v>16</v>
      </c>
      <c r="B114" s="41" t="s">
        <v>150</v>
      </c>
      <c r="C114" s="180">
        <v>0</v>
      </c>
      <c r="D114" s="26"/>
      <c r="E114" s="74"/>
      <c r="F114" s="182">
        <v>0</v>
      </c>
      <c r="G114" s="26"/>
      <c r="H114" s="74"/>
      <c r="I114" s="182">
        <v>0</v>
      </c>
      <c r="J114" s="26"/>
      <c r="K114" s="74"/>
      <c r="L114" s="182">
        <v>0</v>
      </c>
      <c r="M114" s="26"/>
      <c r="N114" s="74"/>
      <c r="O114" s="182">
        <v>0</v>
      </c>
      <c r="P114" s="26"/>
      <c r="Q114" s="74"/>
      <c r="R114" s="182">
        <v>0</v>
      </c>
      <c r="S114" s="26"/>
      <c r="T114" s="74"/>
      <c r="U114" s="181">
        <f t="shared" si="7"/>
        <v>0</v>
      </c>
      <c r="V114" s="26"/>
      <c r="W114" s="74"/>
      <c r="Y114" s="26"/>
      <c r="Z114" s="26"/>
      <c r="AB114" s="26"/>
      <c r="AE114" s="8"/>
    </row>
    <row r="115" spans="1:31" x14ac:dyDescent="0.25">
      <c r="A115" s="39" t="s">
        <v>16</v>
      </c>
      <c r="B115" s="41" t="s">
        <v>151</v>
      </c>
      <c r="C115" s="180">
        <v>0</v>
      </c>
      <c r="D115" s="26"/>
      <c r="E115" s="74"/>
      <c r="F115" s="182">
        <v>0</v>
      </c>
      <c r="G115" s="26"/>
      <c r="H115" s="74"/>
      <c r="I115" s="182">
        <v>0</v>
      </c>
      <c r="J115" s="26"/>
      <c r="K115" s="74"/>
      <c r="L115" s="182">
        <v>0</v>
      </c>
      <c r="M115" s="26"/>
      <c r="N115" s="74"/>
      <c r="O115" s="182">
        <v>0</v>
      </c>
      <c r="P115" s="26"/>
      <c r="Q115" s="74"/>
      <c r="R115" s="182">
        <v>0</v>
      </c>
      <c r="S115" s="26"/>
      <c r="T115" s="74"/>
      <c r="U115" s="181">
        <f t="shared" si="7"/>
        <v>0</v>
      </c>
      <c r="V115" s="26"/>
      <c r="W115" s="74"/>
      <c r="Y115" s="26"/>
      <c r="Z115" s="26"/>
      <c r="AB115" s="26"/>
      <c r="AE115" s="8"/>
    </row>
    <row r="116" spans="1:31" x14ac:dyDescent="0.25">
      <c r="A116" s="39" t="s">
        <v>16</v>
      </c>
      <c r="B116" s="41" t="s">
        <v>152</v>
      </c>
      <c r="C116" s="180">
        <v>0</v>
      </c>
      <c r="D116" s="26"/>
      <c r="E116" s="74"/>
      <c r="F116" s="182">
        <v>0</v>
      </c>
      <c r="G116" s="26"/>
      <c r="H116" s="74"/>
      <c r="I116" s="182">
        <v>0</v>
      </c>
      <c r="J116" s="26"/>
      <c r="K116" s="74"/>
      <c r="L116" s="182">
        <v>0</v>
      </c>
      <c r="M116" s="26"/>
      <c r="N116" s="74"/>
      <c r="O116" s="182">
        <v>0</v>
      </c>
      <c r="P116" s="26"/>
      <c r="Q116" s="74"/>
      <c r="R116" s="182">
        <v>0</v>
      </c>
      <c r="S116" s="26"/>
      <c r="T116" s="74"/>
      <c r="U116" s="181">
        <f t="shared" si="7"/>
        <v>0</v>
      </c>
      <c r="V116" s="26"/>
      <c r="W116" s="74"/>
      <c r="Y116" s="26"/>
      <c r="Z116" s="26"/>
      <c r="AB116" s="26"/>
      <c r="AE116" s="8"/>
    </row>
    <row r="117" spans="1:31" x14ac:dyDescent="0.25">
      <c r="A117" s="39" t="s">
        <v>16</v>
      </c>
      <c r="B117" s="41" t="s">
        <v>153</v>
      </c>
      <c r="C117" s="180">
        <v>0</v>
      </c>
      <c r="D117" s="26"/>
      <c r="E117" s="74"/>
      <c r="F117" s="182">
        <v>0</v>
      </c>
      <c r="G117" s="26"/>
      <c r="H117" s="74"/>
      <c r="I117" s="182">
        <v>0</v>
      </c>
      <c r="J117" s="26"/>
      <c r="K117" s="74"/>
      <c r="L117" s="182">
        <v>0</v>
      </c>
      <c r="M117" s="26"/>
      <c r="N117" s="74"/>
      <c r="O117" s="182">
        <v>0</v>
      </c>
      <c r="P117" s="26"/>
      <c r="Q117" s="74"/>
      <c r="R117" s="182">
        <v>0</v>
      </c>
      <c r="S117" s="26"/>
      <c r="T117" s="74"/>
      <c r="U117" s="181">
        <f t="shared" si="7"/>
        <v>0</v>
      </c>
      <c r="V117" s="26"/>
      <c r="W117" s="74"/>
      <c r="Y117" s="26"/>
      <c r="Z117" s="26"/>
      <c r="AB117" s="26"/>
      <c r="AE117" s="8"/>
    </row>
    <row r="118" spans="1:31" x14ac:dyDescent="0.25">
      <c r="A118" s="39" t="s">
        <v>16</v>
      </c>
      <c r="B118" s="41" t="s">
        <v>154</v>
      </c>
      <c r="C118" s="180">
        <v>0</v>
      </c>
      <c r="D118" s="26"/>
      <c r="E118" s="74"/>
      <c r="F118" s="182">
        <v>0</v>
      </c>
      <c r="G118" s="26"/>
      <c r="H118" s="74"/>
      <c r="I118" s="182">
        <v>0</v>
      </c>
      <c r="J118" s="26"/>
      <c r="K118" s="74"/>
      <c r="L118" s="182">
        <v>0</v>
      </c>
      <c r="M118" s="26"/>
      <c r="N118" s="74"/>
      <c r="O118" s="182">
        <v>0</v>
      </c>
      <c r="P118" s="26"/>
      <c r="Q118" s="74"/>
      <c r="R118" s="182">
        <v>0</v>
      </c>
      <c r="S118" s="26"/>
      <c r="T118" s="74"/>
      <c r="U118" s="181">
        <f t="shared" si="7"/>
        <v>0</v>
      </c>
      <c r="V118" s="26"/>
      <c r="W118" s="74"/>
      <c r="Y118" s="26"/>
      <c r="Z118" s="26"/>
      <c r="AB118" s="26"/>
      <c r="AE118" s="8"/>
    </row>
    <row r="119" spans="1:31" x14ac:dyDescent="0.25">
      <c r="A119" s="39" t="s">
        <v>16</v>
      </c>
      <c r="B119" s="41" t="s">
        <v>155</v>
      </c>
      <c r="C119" s="180">
        <v>0</v>
      </c>
      <c r="D119" s="26"/>
      <c r="E119" s="74"/>
      <c r="F119" s="182">
        <v>0</v>
      </c>
      <c r="G119" s="26"/>
      <c r="H119" s="74"/>
      <c r="I119" s="182">
        <v>0</v>
      </c>
      <c r="J119" s="26"/>
      <c r="K119" s="74"/>
      <c r="L119" s="182">
        <v>0</v>
      </c>
      <c r="M119" s="26"/>
      <c r="N119" s="74"/>
      <c r="O119" s="182">
        <v>0</v>
      </c>
      <c r="P119" s="26"/>
      <c r="Q119" s="74"/>
      <c r="R119" s="182">
        <v>0</v>
      </c>
      <c r="S119" s="26"/>
      <c r="T119" s="74"/>
      <c r="U119" s="181">
        <f t="shared" si="7"/>
        <v>0</v>
      </c>
      <c r="V119" s="26"/>
      <c r="W119" s="74"/>
      <c r="Y119" s="26"/>
      <c r="Z119" s="26"/>
      <c r="AB119" s="26"/>
      <c r="AE119" s="8"/>
    </row>
    <row r="120" spans="1:31" x14ac:dyDescent="0.25">
      <c r="A120" s="39" t="s">
        <v>16</v>
      </c>
      <c r="B120" s="41" t="s">
        <v>156</v>
      </c>
      <c r="C120" s="180">
        <v>0</v>
      </c>
      <c r="D120" s="26"/>
      <c r="E120" s="74"/>
      <c r="F120" s="182">
        <v>0</v>
      </c>
      <c r="G120" s="26"/>
      <c r="H120" s="74"/>
      <c r="I120" s="182">
        <v>0</v>
      </c>
      <c r="J120" s="26"/>
      <c r="K120" s="74"/>
      <c r="L120" s="182">
        <v>0</v>
      </c>
      <c r="M120" s="26"/>
      <c r="N120" s="74"/>
      <c r="O120" s="182">
        <v>0</v>
      </c>
      <c r="P120" s="26"/>
      <c r="Q120" s="74"/>
      <c r="R120" s="182">
        <v>0</v>
      </c>
      <c r="S120" s="26"/>
      <c r="T120" s="74"/>
      <c r="U120" s="181">
        <f t="shared" si="7"/>
        <v>0</v>
      </c>
      <c r="V120" s="26"/>
      <c r="W120" s="74"/>
      <c r="Y120" s="26"/>
      <c r="Z120" s="26"/>
      <c r="AB120" s="26"/>
      <c r="AE120" s="8"/>
    </row>
    <row r="121" spans="1:31" x14ac:dyDescent="0.25">
      <c r="A121" s="39" t="s">
        <v>16</v>
      </c>
      <c r="B121" s="41" t="s">
        <v>157</v>
      </c>
      <c r="C121" s="180">
        <v>0</v>
      </c>
      <c r="D121" s="26"/>
      <c r="E121" s="74"/>
      <c r="F121" s="182">
        <v>0</v>
      </c>
      <c r="G121" s="26"/>
      <c r="H121" s="74"/>
      <c r="I121" s="182">
        <v>0</v>
      </c>
      <c r="J121" s="26"/>
      <c r="K121" s="74"/>
      <c r="L121" s="182">
        <v>0</v>
      </c>
      <c r="M121" s="26"/>
      <c r="N121" s="74"/>
      <c r="O121" s="182">
        <v>0</v>
      </c>
      <c r="P121" s="26"/>
      <c r="Q121" s="74"/>
      <c r="R121" s="182">
        <v>0</v>
      </c>
      <c r="S121" s="26"/>
      <c r="T121" s="74"/>
      <c r="U121" s="181">
        <f t="shared" si="7"/>
        <v>0</v>
      </c>
      <c r="V121" s="26"/>
      <c r="W121" s="74"/>
      <c r="Y121" s="26"/>
      <c r="Z121" s="26"/>
      <c r="AB121" s="26"/>
      <c r="AE121" s="8"/>
    </row>
    <row r="122" spans="1:31" x14ac:dyDescent="0.25">
      <c r="A122" s="39" t="s">
        <v>16</v>
      </c>
      <c r="B122" s="41" t="s">
        <v>158</v>
      </c>
      <c r="C122" s="180">
        <v>0</v>
      </c>
      <c r="D122" s="26"/>
      <c r="E122" s="74"/>
      <c r="F122" s="182">
        <v>0</v>
      </c>
      <c r="G122" s="26"/>
      <c r="H122" s="74"/>
      <c r="I122" s="182">
        <v>0</v>
      </c>
      <c r="J122" s="26"/>
      <c r="K122" s="74"/>
      <c r="L122" s="182">
        <v>0</v>
      </c>
      <c r="M122" s="26"/>
      <c r="N122" s="74"/>
      <c r="O122" s="182">
        <v>0</v>
      </c>
      <c r="P122" s="26"/>
      <c r="Q122" s="74"/>
      <c r="R122" s="182">
        <v>0</v>
      </c>
      <c r="S122" s="26"/>
      <c r="T122" s="74"/>
      <c r="U122" s="181">
        <f t="shared" si="7"/>
        <v>0</v>
      </c>
      <c r="V122" s="26"/>
      <c r="W122" s="74"/>
      <c r="Y122" s="26"/>
      <c r="Z122" s="26"/>
      <c r="AB122" s="26"/>
      <c r="AE122" s="8"/>
    </row>
    <row r="123" spans="1:31" x14ac:dyDescent="0.25">
      <c r="A123" s="39" t="s">
        <v>16</v>
      </c>
      <c r="B123" s="41" t="s">
        <v>159</v>
      </c>
      <c r="C123" s="180">
        <v>0</v>
      </c>
      <c r="D123" s="26"/>
      <c r="E123" s="74"/>
      <c r="F123" s="182">
        <v>0</v>
      </c>
      <c r="G123" s="26"/>
      <c r="H123" s="74"/>
      <c r="I123" s="182">
        <v>0</v>
      </c>
      <c r="J123" s="26"/>
      <c r="K123" s="74"/>
      <c r="L123" s="182">
        <v>0</v>
      </c>
      <c r="M123" s="26"/>
      <c r="N123" s="74"/>
      <c r="O123" s="182">
        <v>0</v>
      </c>
      <c r="P123" s="26"/>
      <c r="Q123" s="74"/>
      <c r="R123" s="182">
        <v>0</v>
      </c>
      <c r="S123" s="26"/>
      <c r="T123" s="74"/>
      <c r="U123" s="181">
        <f t="shared" si="7"/>
        <v>0</v>
      </c>
      <c r="V123" s="26"/>
      <c r="W123" s="74"/>
      <c r="Y123" s="26"/>
      <c r="Z123" s="26"/>
      <c r="AB123" s="26"/>
      <c r="AE123" s="8"/>
    </row>
    <row r="124" spans="1:31" x14ac:dyDescent="0.25">
      <c r="A124" s="39" t="s">
        <v>16</v>
      </c>
      <c r="B124" s="41" t="s">
        <v>160</v>
      </c>
      <c r="C124" s="180">
        <v>0</v>
      </c>
      <c r="D124" s="26"/>
      <c r="E124" s="74"/>
      <c r="F124" s="182">
        <v>0</v>
      </c>
      <c r="G124" s="26"/>
      <c r="H124" s="74"/>
      <c r="I124" s="182">
        <v>0</v>
      </c>
      <c r="J124" s="26"/>
      <c r="K124" s="74"/>
      <c r="L124" s="182">
        <v>0</v>
      </c>
      <c r="M124" s="26"/>
      <c r="N124" s="74"/>
      <c r="O124" s="182">
        <v>0</v>
      </c>
      <c r="P124" s="26"/>
      <c r="Q124" s="74"/>
      <c r="R124" s="182">
        <v>0</v>
      </c>
      <c r="S124" s="26"/>
      <c r="T124" s="74"/>
      <c r="U124" s="181">
        <f t="shared" si="7"/>
        <v>0</v>
      </c>
      <c r="V124" s="26"/>
      <c r="W124" s="74"/>
      <c r="Y124" s="26"/>
      <c r="Z124" s="26"/>
      <c r="AB124" s="26"/>
      <c r="AE124" s="8"/>
    </row>
    <row r="125" spans="1:31" x14ac:dyDescent="0.25">
      <c r="A125" s="39" t="s">
        <v>16</v>
      </c>
      <c r="B125" s="41" t="s">
        <v>161</v>
      </c>
      <c r="C125" s="180">
        <v>30</v>
      </c>
      <c r="E125" s="74"/>
      <c r="F125" s="182">
        <v>24</v>
      </c>
      <c r="H125" s="74"/>
      <c r="I125" s="182">
        <v>0</v>
      </c>
      <c r="K125" s="74"/>
      <c r="L125" s="182">
        <v>0</v>
      </c>
      <c r="N125" s="74"/>
      <c r="O125" s="182">
        <v>0</v>
      </c>
      <c r="Q125" s="74"/>
      <c r="R125" s="182">
        <v>0</v>
      </c>
      <c r="T125" s="74"/>
      <c r="U125" s="181">
        <f t="shared" si="7"/>
        <v>54</v>
      </c>
      <c r="W125" s="74"/>
      <c r="Y125" s="26"/>
      <c r="Z125" s="26"/>
      <c r="AB125" s="26"/>
      <c r="AE125" s="8"/>
    </row>
    <row r="126" spans="1:31" x14ac:dyDescent="0.25">
      <c r="A126" s="39" t="s">
        <v>16</v>
      </c>
      <c r="B126" s="41" t="s">
        <v>162</v>
      </c>
      <c r="C126" s="180">
        <v>0</v>
      </c>
      <c r="E126" s="74"/>
      <c r="F126" s="182">
        <v>0</v>
      </c>
      <c r="H126" s="74"/>
      <c r="I126" s="182">
        <v>0</v>
      </c>
      <c r="K126" s="74"/>
      <c r="L126" s="182">
        <v>0</v>
      </c>
      <c r="N126" s="74"/>
      <c r="O126" s="182">
        <v>0</v>
      </c>
      <c r="Q126" s="74"/>
      <c r="R126" s="182">
        <v>0</v>
      </c>
      <c r="T126" s="74"/>
      <c r="U126" s="181">
        <f t="shared" si="7"/>
        <v>0</v>
      </c>
      <c r="W126" s="74"/>
      <c r="Y126" s="26"/>
      <c r="Z126" s="26"/>
      <c r="AB126" s="26"/>
      <c r="AE126" s="8"/>
    </row>
    <row r="127" spans="1:31" x14ac:dyDescent="0.25">
      <c r="A127" s="39" t="s">
        <v>16</v>
      </c>
      <c r="B127" s="41" t="s">
        <v>202</v>
      </c>
      <c r="C127" s="180">
        <v>0</v>
      </c>
      <c r="E127" s="74"/>
      <c r="F127" s="182">
        <v>0</v>
      </c>
      <c r="H127" s="74"/>
      <c r="I127" s="182">
        <v>0</v>
      </c>
      <c r="K127" s="74"/>
      <c r="L127" s="182">
        <v>0</v>
      </c>
      <c r="N127" s="74"/>
      <c r="O127" s="182">
        <v>0</v>
      </c>
      <c r="Q127" s="74"/>
      <c r="R127" s="182">
        <v>0</v>
      </c>
      <c r="T127" s="74"/>
      <c r="U127" s="181">
        <f t="shared" si="7"/>
        <v>0</v>
      </c>
      <c r="W127" s="74"/>
      <c r="Y127" s="26"/>
      <c r="Z127" s="26"/>
      <c r="AB127" s="26"/>
      <c r="AE127" s="8"/>
    </row>
    <row r="128" spans="1:31" x14ac:dyDescent="0.25">
      <c r="A128" s="39" t="s">
        <v>16</v>
      </c>
      <c r="B128" s="41" t="s">
        <v>163</v>
      </c>
      <c r="C128" s="180">
        <v>0</v>
      </c>
      <c r="E128" s="74"/>
      <c r="F128" s="182">
        <v>0</v>
      </c>
      <c r="H128" s="74"/>
      <c r="I128" s="182">
        <v>0</v>
      </c>
      <c r="K128" s="74"/>
      <c r="L128" s="182">
        <v>0</v>
      </c>
      <c r="N128" s="74"/>
      <c r="O128" s="182">
        <v>0</v>
      </c>
      <c r="Q128" s="74"/>
      <c r="R128" s="182">
        <v>0</v>
      </c>
      <c r="T128" s="74"/>
      <c r="U128" s="181">
        <f t="shared" si="7"/>
        <v>0</v>
      </c>
      <c r="W128" s="74"/>
      <c r="Y128" s="26"/>
      <c r="Z128" s="26"/>
      <c r="AB128" s="26"/>
    </row>
    <row r="129" spans="1:31" x14ac:dyDescent="0.25">
      <c r="A129" s="39" t="s">
        <v>16</v>
      </c>
      <c r="B129" s="41" t="s">
        <v>165</v>
      </c>
      <c r="C129" s="180">
        <v>0</v>
      </c>
      <c r="D129" s="26"/>
      <c r="E129" s="74"/>
      <c r="F129" s="182">
        <v>0</v>
      </c>
      <c r="G129" s="26"/>
      <c r="H129" s="74"/>
      <c r="I129" s="182">
        <v>0</v>
      </c>
      <c r="J129" s="26"/>
      <c r="K129" s="74"/>
      <c r="L129" s="182">
        <v>0</v>
      </c>
      <c r="M129" s="26"/>
      <c r="N129" s="74"/>
      <c r="O129" s="182">
        <v>0</v>
      </c>
      <c r="P129" s="26"/>
      <c r="Q129" s="74"/>
      <c r="R129" s="182">
        <v>0</v>
      </c>
      <c r="S129" s="26"/>
      <c r="T129" s="74"/>
      <c r="U129" s="181">
        <f t="shared" si="7"/>
        <v>0</v>
      </c>
      <c r="V129" s="26"/>
      <c r="W129" s="74"/>
      <c r="Y129" s="26"/>
      <c r="Z129" s="26"/>
      <c r="AB129" s="26"/>
      <c r="AE129" s="8"/>
    </row>
    <row r="130" spans="1:31" x14ac:dyDescent="0.25">
      <c r="A130" s="39" t="s">
        <v>16</v>
      </c>
      <c r="B130" s="41" t="s">
        <v>166</v>
      </c>
      <c r="C130" s="180">
        <v>0</v>
      </c>
      <c r="D130" s="26"/>
      <c r="E130" s="74"/>
      <c r="F130" s="182">
        <v>0</v>
      </c>
      <c r="G130" s="26"/>
      <c r="H130" s="74"/>
      <c r="I130" s="182">
        <v>0</v>
      </c>
      <c r="J130" s="26"/>
      <c r="K130" s="74"/>
      <c r="L130" s="182">
        <v>0</v>
      </c>
      <c r="M130" s="26"/>
      <c r="N130" s="74"/>
      <c r="O130" s="182">
        <v>0</v>
      </c>
      <c r="P130" s="26"/>
      <c r="Q130" s="74"/>
      <c r="R130" s="182">
        <v>0</v>
      </c>
      <c r="S130" s="26"/>
      <c r="T130" s="74"/>
      <c r="U130" s="181">
        <f t="shared" si="7"/>
        <v>0</v>
      </c>
      <c r="V130" s="26"/>
      <c r="W130" s="74"/>
      <c r="Y130" s="26"/>
      <c r="Z130" s="26"/>
      <c r="AB130" s="26"/>
      <c r="AE130" s="8"/>
    </row>
    <row r="131" spans="1:31" x14ac:dyDescent="0.25">
      <c r="A131" s="39" t="s">
        <v>16</v>
      </c>
      <c r="B131" s="41" t="s">
        <v>167</v>
      </c>
      <c r="C131" s="180">
        <v>0</v>
      </c>
      <c r="D131" s="26"/>
      <c r="E131" s="74"/>
      <c r="F131" s="182">
        <v>0</v>
      </c>
      <c r="G131" s="26"/>
      <c r="H131" s="74"/>
      <c r="I131" s="182">
        <v>0</v>
      </c>
      <c r="J131" s="26"/>
      <c r="K131" s="74"/>
      <c r="L131" s="182">
        <v>0</v>
      </c>
      <c r="M131" s="26"/>
      <c r="N131" s="74"/>
      <c r="O131" s="182">
        <v>0</v>
      </c>
      <c r="P131" s="26"/>
      <c r="Q131" s="74"/>
      <c r="R131" s="182">
        <v>0</v>
      </c>
      <c r="S131" s="26"/>
      <c r="T131" s="74"/>
      <c r="U131" s="181">
        <f t="shared" si="7"/>
        <v>0</v>
      </c>
      <c r="V131" s="26"/>
      <c r="W131" s="74"/>
      <c r="Y131" s="26"/>
      <c r="Z131" s="26"/>
      <c r="AB131" s="26"/>
      <c r="AE131" s="8"/>
    </row>
    <row r="132" spans="1:31" x14ac:dyDescent="0.25">
      <c r="A132" s="39" t="s">
        <v>16</v>
      </c>
      <c r="B132" s="41" t="s">
        <v>171</v>
      </c>
      <c r="C132" s="180">
        <v>0</v>
      </c>
      <c r="D132" s="26"/>
      <c r="E132" s="74"/>
      <c r="F132" s="182">
        <v>0</v>
      </c>
      <c r="G132" s="26"/>
      <c r="H132" s="74"/>
      <c r="I132" s="182">
        <v>0</v>
      </c>
      <c r="J132" s="26"/>
      <c r="K132" s="74"/>
      <c r="L132" s="182">
        <v>0</v>
      </c>
      <c r="M132" s="26"/>
      <c r="N132" s="74"/>
      <c r="O132" s="182">
        <v>0</v>
      </c>
      <c r="P132" s="26"/>
      <c r="Q132" s="74"/>
      <c r="R132" s="182">
        <v>0</v>
      </c>
      <c r="S132" s="26"/>
      <c r="T132" s="74"/>
      <c r="U132" s="181">
        <f t="shared" si="7"/>
        <v>0</v>
      </c>
      <c r="V132" s="26"/>
      <c r="W132" s="74"/>
      <c r="Y132" s="26"/>
      <c r="Z132" s="26"/>
      <c r="AB132" s="26"/>
      <c r="AE132" s="8"/>
    </row>
    <row r="133" spans="1:31" x14ac:dyDescent="0.25">
      <c r="A133" s="39" t="s">
        <v>16</v>
      </c>
      <c r="B133" s="41" t="s">
        <v>172</v>
      </c>
      <c r="C133" s="180">
        <v>0</v>
      </c>
      <c r="D133" s="26"/>
      <c r="E133" s="26"/>
      <c r="F133" s="182">
        <v>0</v>
      </c>
      <c r="G133" s="26"/>
      <c r="H133" s="26"/>
      <c r="I133" s="182">
        <v>0</v>
      </c>
      <c r="J133" s="26"/>
      <c r="K133" s="26"/>
      <c r="L133" s="182">
        <v>0</v>
      </c>
      <c r="M133" s="26"/>
      <c r="N133" s="26"/>
      <c r="O133" s="182">
        <v>0</v>
      </c>
      <c r="P133" s="26"/>
      <c r="Q133" s="26"/>
      <c r="R133" s="182">
        <v>0</v>
      </c>
      <c r="S133" s="26"/>
      <c r="T133" s="26"/>
      <c r="U133" s="181">
        <f t="shared" si="7"/>
        <v>0</v>
      </c>
      <c r="V133" s="26"/>
      <c r="W133" s="26"/>
      <c r="Y133" s="26"/>
      <c r="Z133" s="26"/>
      <c r="AB133" s="26"/>
      <c r="AE133" s="8"/>
    </row>
    <row r="134" spans="1:31" x14ac:dyDescent="0.25">
      <c r="A134" s="39" t="s">
        <v>16</v>
      </c>
      <c r="B134" s="41" t="s">
        <v>207</v>
      </c>
      <c r="C134" s="180">
        <v>0</v>
      </c>
      <c r="D134" s="26"/>
      <c r="E134" s="26"/>
      <c r="F134" s="182">
        <v>0</v>
      </c>
      <c r="G134" s="26"/>
      <c r="H134" s="26"/>
      <c r="I134" s="182">
        <v>0</v>
      </c>
      <c r="J134" s="26"/>
      <c r="K134" s="26"/>
      <c r="L134" s="182">
        <v>0</v>
      </c>
      <c r="M134" s="26"/>
      <c r="N134" s="26"/>
      <c r="O134" s="182">
        <v>0</v>
      </c>
      <c r="P134" s="26"/>
      <c r="Q134" s="26"/>
      <c r="R134" s="182">
        <v>0</v>
      </c>
      <c r="S134" s="26"/>
      <c r="T134" s="26"/>
      <c r="U134" s="181">
        <f t="shared" si="7"/>
        <v>0</v>
      </c>
      <c r="V134" s="26"/>
      <c r="W134" s="26"/>
      <c r="Y134" s="26"/>
      <c r="Z134" s="26"/>
      <c r="AB134" s="26"/>
      <c r="AE134" s="8"/>
    </row>
    <row r="135" spans="1:31" x14ac:dyDescent="0.25">
      <c r="A135" s="60" t="s">
        <v>53</v>
      </c>
      <c r="B135" s="158"/>
      <c r="C135" s="157">
        <f>SUM(C99:C134)</f>
        <v>30</v>
      </c>
      <c r="E135" s="26"/>
      <c r="F135" s="157">
        <f>SUM(F99:F134)</f>
        <v>24</v>
      </c>
      <c r="H135" s="26"/>
      <c r="I135" s="157">
        <f>SUM(I99:I134)</f>
        <v>0</v>
      </c>
      <c r="K135" s="26"/>
      <c r="L135" s="157">
        <f>SUM(L99:L134)</f>
        <v>0</v>
      </c>
      <c r="N135" s="26"/>
      <c r="O135" s="157">
        <f>SUM(O99:O134)</f>
        <v>0</v>
      </c>
      <c r="Q135" s="26"/>
      <c r="R135" s="157">
        <f>SUM(R99:R134)</f>
        <v>0</v>
      </c>
      <c r="T135" s="26"/>
      <c r="U135" s="157">
        <f>SUM(U99:U134)</f>
        <v>54</v>
      </c>
      <c r="W135" s="26"/>
      <c r="Y135" s="26"/>
      <c r="Z135" s="26"/>
      <c r="AB135" s="26"/>
    </row>
    <row r="136" spans="1:31" x14ac:dyDescent="0.25">
      <c r="E136" s="26"/>
      <c r="H136" s="26"/>
      <c r="K136" s="26"/>
      <c r="N136" s="26"/>
      <c r="Q136" s="26"/>
      <c r="T136" s="26"/>
      <c r="U136" s="8"/>
      <c r="W136" s="26"/>
      <c r="X136" s="173"/>
      <c r="Y136" s="26"/>
      <c r="Z136" s="26"/>
    </row>
    <row r="137" spans="1:31" ht="15.75" thickBot="1" x14ac:dyDescent="0.3">
      <c r="A137" s="26"/>
      <c r="U137" s="8"/>
      <c r="X137" s="173"/>
      <c r="Y137" s="26"/>
    </row>
    <row r="138" spans="1:31" x14ac:dyDescent="0.25">
      <c r="A138" s="171" t="s">
        <v>129</v>
      </c>
      <c r="U138" s="8"/>
      <c r="X138" s="173"/>
      <c r="Y138" s="26"/>
    </row>
    <row r="139" spans="1:31" x14ac:dyDescent="0.25">
      <c r="A139" s="169" t="s">
        <v>126</v>
      </c>
      <c r="U139" s="8"/>
      <c r="X139" s="173"/>
      <c r="Y139" s="26"/>
    </row>
    <row r="140" spans="1:31" x14ac:dyDescent="0.25">
      <c r="A140" s="169" t="s">
        <v>127</v>
      </c>
      <c r="U140" s="8"/>
      <c r="X140" s="173"/>
    </row>
    <row r="141" spans="1:31" ht="15.75" thickBot="1" x14ac:dyDescent="0.3">
      <c r="A141" s="170" t="s">
        <v>128</v>
      </c>
      <c r="X141" s="173"/>
    </row>
    <row r="142" spans="1:31" ht="15.75" thickBot="1" x14ac:dyDescent="0.3">
      <c r="X142" s="173"/>
    </row>
    <row r="143" spans="1:31" x14ac:dyDescent="0.25">
      <c r="A143" s="171" t="s">
        <v>187</v>
      </c>
      <c r="U143" s="8"/>
      <c r="X143" s="173"/>
      <c r="Y143" s="26"/>
    </row>
    <row r="144" spans="1:31" x14ac:dyDescent="0.25">
      <c r="A144" s="169" t="s">
        <v>188</v>
      </c>
      <c r="U144" s="8"/>
      <c r="X144" s="173"/>
    </row>
    <row r="145" spans="1:24" ht="15.75" thickBot="1" x14ac:dyDescent="0.3">
      <c r="A145" s="170"/>
      <c r="X145" s="173"/>
    </row>
    <row r="146" spans="1:24" x14ac:dyDescent="0.25">
      <c r="X146" s="173"/>
    </row>
    <row r="147" spans="1:24" x14ac:dyDescent="0.25">
      <c r="X147" s="173"/>
    </row>
  </sheetData>
  <pageMargins left="0.7" right="0.7" top="0.75" bottom="0.75" header="0.3" footer="0.3"/>
  <pageSetup paperSize="9" scale="94"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8</vt:i4>
      </vt:variant>
      <vt:variant>
        <vt:lpstr>Benoemde bereiken</vt:lpstr>
      </vt:variant>
      <vt:variant>
        <vt:i4>2</vt:i4>
      </vt:variant>
    </vt:vector>
  </HeadingPairs>
  <TitlesOfParts>
    <vt:vector size="10" baseType="lpstr">
      <vt:lpstr>TotaalOverzicht</vt:lpstr>
      <vt:lpstr>Grafieken</vt:lpstr>
      <vt:lpstr>Ranking</vt:lpstr>
      <vt:lpstr>2017-Rechts</vt:lpstr>
      <vt:lpstr>2017-Tussen</vt:lpstr>
      <vt:lpstr>2017-Links</vt:lpstr>
      <vt:lpstr>2017-Tribune</vt:lpstr>
      <vt:lpstr>2017-Test</vt:lpstr>
      <vt:lpstr>Ranking!Print_Area</vt:lpstr>
      <vt:lpstr>TotaalOverzicht!Print_Area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Printed>2017-05-09T16:46:58Z</cp:lastPrinted>
  <dcterms:created xsi:type="dcterms:W3CDTF">2013-04-17T07:20:32Z</dcterms:created>
  <dcterms:modified xsi:type="dcterms:W3CDTF">2017-08-28T18:40:08Z</dcterms:modified>
</cp:coreProperties>
</file>