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305" tabRatio="877" activeTab="5"/>
  </bookViews>
  <sheets>
    <sheet name="GROUP-16 DETAIL" sheetId="21" r:id="rId1"/>
    <sheet name="HistoricalFS" sheetId="3" r:id="rId2"/>
    <sheet name="Ratio Analysis" sheetId="6" r:id="rId3"/>
    <sheet name="Forecasting" sheetId="8" r:id="rId4"/>
    <sheet name="Data Sheet" sheetId="2" r:id="rId5"/>
    <sheet name="Raw Data For CCA" sheetId="15" r:id="rId6"/>
    <sheet name="CCA" sheetId="12" r:id="rId7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2" l="1"/>
  <c r="O32" i="12"/>
  <c r="Q27" i="12"/>
  <c r="P27" i="12"/>
  <c r="O30" i="12"/>
  <c r="O29" i="12"/>
  <c r="O28" i="12"/>
  <c r="O27" i="12"/>
  <c r="Q30" i="12" l="1"/>
  <c r="Q29" i="12"/>
  <c r="Q28" i="12"/>
  <c r="P30" i="12"/>
  <c r="P29" i="12"/>
  <c r="P28" i="12"/>
  <c r="O20" i="12"/>
  <c r="O18" i="12"/>
  <c r="O9" i="12"/>
  <c r="J9" i="12"/>
  <c r="L2" i="8" l="1"/>
  <c r="L9" i="12" l="1"/>
  <c r="L10" i="12"/>
  <c r="L11" i="12"/>
  <c r="L12" i="12"/>
  <c r="L13" i="12"/>
  <c r="L14" i="12"/>
  <c r="L15" i="12"/>
  <c r="L16" i="12"/>
  <c r="L8" i="12"/>
  <c r="K9" i="12"/>
  <c r="K10" i="12"/>
  <c r="K11" i="12"/>
  <c r="K12" i="12"/>
  <c r="K13" i="12"/>
  <c r="K14" i="12"/>
  <c r="K15" i="12"/>
  <c r="K16" i="12"/>
  <c r="K8" i="12"/>
  <c r="J10" i="12"/>
  <c r="J11" i="12"/>
  <c r="J12" i="12"/>
  <c r="J13" i="12"/>
  <c r="J14" i="12"/>
  <c r="J15" i="12"/>
  <c r="J16" i="12"/>
  <c r="J8" i="12"/>
  <c r="E9" i="12"/>
  <c r="E10" i="12"/>
  <c r="E11" i="12"/>
  <c r="E12" i="12"/>
  <c r="E13" i="12"/>
  <c r="E14" i="12"/>
  <c r="E15" i="12"/>
  <c r="E16" i="12"/>
  <c r="D9" i="12"/>
  <c r="F9" i="12" s="1"/>
  <c r="D10" i="12"/>
  <c r="F10" i="12" s="1"/>
  <c r="D11" i="12"/>
  <c r="F11" i="12" s="1"/>
  <c r="D12" i="12"/>
  <c r="F12" i="12" s="1"/>
  <c r="D13" i="12"/>
  <c r="F13" i="12" s="1"/>
  <c r="D14" i="12"/>
  <c r="F14" i="12" s="1"/>
  <c r="D15" i="12"/>
  <c r="F15" i="12" s="1"/>
  <c r="D16" i="12"/>
  <c r="F16" i="12" s="1"/>
  <c r="E5" i="15"/>
  <c r="I5" i="15" s="1"/>
  <c r="E4" i="15"/>
  <c r="I4" i="15" s="1"/>
  <c r="E6" i="15"/>
  <c r="I6" i="15" s="1"/>
  <c r="E7" i="15"/>
  <c r="I7" i="15" s="1"/>
  <c r="E8" i="15"/>
  <c r="I8" i="15" s="1"/>
  <c r="E9" i="15"/>
  <c r="E10" i="15"/>
  <c r="E11" i="15"/>
  <c r="I11" i="15" s="1"/>
  <c r="E12" i="15"/>
  <c r="I12" i="15" s="1"/>
  <c r="H4" i="15"/>
  <c r="G9" i="12" s="1"/>
  <c r="H5" i="15"/>
  <c r="G10" i="12" s="1"/>
  <c r="H6" i="15"/>
  <c r="G11" i="12" s="1"/>
  <c r="H7" i="15"/>
  <c r="G12" i="12" s="1"/>
  <c r="H8" i="15"/>
  <c r="G13" i="12" s="1"/>
  <c r="H9" i="15"/>
  <c r="G14" i="12" s="1"/>
  <c r="H10" i="15"/>
  <c r="G15" i="12" s="1"/>
  <c r="H11" i="15"/>
  <c r="G16" i="12" s="1"/>
  <c r="H12" i="15"/>
  <c r="I9" i="15"/>
  <c r="I10" i="15"/>
  <c r="H3" i="15"/>
  <c r="G8" i="12" s="1"/>
  <c r="E3" i="15"/>
  <c r="I3" i="15" s="1"/>
  <c r="E8" i="12"/>
  <c r="D8" i="12"/>
  <c r="B9" i="12"/>
  <c r="B10" i="12"/>
  <c r="B11" i="12"/>
  <c r="B12" i="12"/>
  <c r="B13" i="12"/>
  <c r="B14" i="12"/>
  <c r="B15" i="12"/>
  <c r="B16" i="12"/>
  <c r="B8" i="12"/>
  <c r="A4" i="15"/>
  <c r="A5" i="15" s="1"/>
  <c r="A6" i="15" s="1"/>
  <c r="A7" i="15" s="1"/>
  <c r="A8" i="15" s="1"/>
  <c r="A9" i="15" s="1"/>
  <c r="A10" i="15" s="1"/>
  <c r="A11" i="15" s="1"/>
  <c r="A12" i="15" s="1"/>
  <c r="F8" i="12" l="1"/>
  <c r="Q16" i="12"/>
  <c r="H10" i="12"/>
  <c r="Q12" i="12"/>
  <c r="H14" i="12"/>
  <c r="H9" i="12"/>
  <c r="Q11" i="12"/>
  <c r="H13" i="12"/>
  <c r="H15" i="12"/>
  <c r="H16" i="12"/>
  <c r="Q9" i="12"/>
  <c r="H8" i="12" l="1"/>
  <c r="Q8" i="12"/>
  <c r="Q14" i="12"/>
  <c r="Q15" i="12"/>
  <c r="Q10" i="12"/>
  <c r="H11" i="12"/>
  <c r="P11" i="12" s="1"/>
  <c r="H12" i="12"/>
  <c r="O12" i="12" s="1"/>
  <c r="Q13" i="12"/>
  <c r="P14" i="12"/>
  <c r="O14" i="12"/>
  <c r="P10" i="12"/>
  <c r="O10" i="12"/>
  <c r="P15" i="12"/>
  <c r="O15" i="12"/>
  <c r="P16" i="12"/>
  <c r="O16" i="12"/>
  <c r="P9" i="12"/>
  <c r="P13" i="12"/>
  <c r="O13" i="12"/>
  <c r="O8" i="12" l="1"/>
  <c r="P8" i="12"/>
  <c r="Q22" i="12"/>
  <c r="Q23" i="12"/>
  <c r="Q18" i="12"/>
  <c r="P12" i="12"/>
  <c r="P19" i="12" s="1"/>
  <c r="Q20" i="12"/>
  <c r="Q19" i="12"/>
  <c r="Q21" i="12"/>
  <c r="O11" i="12"/>
  <c r="O22" i="12" s="1"/>
  <c r="P18" i="12" l="1"/>
  <c r="Q32" i="12"/>
  <c r="Q34" i="12" s="1"/>
  <c r="P21" i="12"/>
  <c r="P32" i="12" s="1"/>
  <c r="P34" i="12" s="1"/>
  <c r="P20" i="12"/>
  <c r="P22" i="12"/>
  <c r="P23" i="12"/>
  <c r="O19" i="12"/>
  <c r="O21" i="12"/>
  <c r="O23" i="12"/>
  <c r="L3" i="6" l="1"/>
  <c r="K3" i="6"/>
  <c r="J3" i="6"/>
  <c r="I3" i="6"/>
  <c r="H3" i="6"/>
  <c r="G3" i="6"/>
  <c r="F3" i="6"/>
  <c r="E3" i="6"/>
  <c r="D3" i="6"/>
  <c r="C3" i="6"/>
  <c r="B2" i="6"/>
  <c r="L5" i="8" l="1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D7" i="8" l="1"/>
  <c r="B20" i="8"/>
  <c r="D12" i="8"/>
  <c r="E12" i="8" s="1"/>
  <c r="D6" i="8"/>
  <c r="D11" i="8"/>
  <c r="D5" i="8"/>
  <c r="D13" i="8"/>
  <c r="D8" i="8"/>
  <c r="E8" i="8" s="1"/>
  <c r="D4" i="8"/>
  <c r="D19" i="8" s="1"/>
  <c r="L15" i="8"/>
  <c r="G15" i="8"/>
  <c r="D10" i="8"/>
  <c r="E10" i="8" s="1"/>
  <c r="E6" i="8" l="1"/>
  <c r="E13" i="8"/>
  <c r="D20" i="8"/>
  <c r="E20" i="8" s="1"/>
  <c r="B21" i="8"/>
  <c r="D16" i="8"/>
  <c r="D14" i="8"/>
  <c r="E14" i="8" s="1"/>
  <c r="D17" i="8"/>
  <c r="E5" i="8"/>
  <c r="E11" i="8"/>
  <c r="E9" i="8"/>
  <c r="D15" i="8"/>
  <c r="D18" i="8"/>
  <c r="E19" i="8" s="1"/>
  <c r="E7" i="8"/>
  <c r="L16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4" i="8" l="1" a="1"/>
  <c r="G21" i="8"/>
  <c r="E24" i="8"/>
  <c r="L21" i="8"/>
  <c r="M18" i="3"/>
  <c r="M27" i="3" s="1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I6" i="8" l="1"/>
  <c r="I11" i="8"/>
  <c r="I9" i="8"/>
  <c r="I8" i="8"/>
  <c r="I7" i="8"/>
  <c r="J7" i="8" s="1"/>
  <c r="I10" i="8"/>
  <c r="J10" i="8" s="1"/>
  <c r="I13" i="8"/>
  <c r="J13" i="8" s="1"/>
  <c r="I5" i="8"/>
  <c r="J5" i="8" s="1"/>
  <c r="I12" i="8"/>
  <c r="I4" i="8"/>
  <c r="M19" i="3"/>
  <c r="L22" i="8"/>
  <c r="G22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1" i="8" l="1"/>
  <c r="J8" i="8"/>
  <c r="J9" i="8"/>
  <c r="I18" i="8"/>
  <c r="I16" i="8"/>
  <c r="J16" i="8" s="1"/>
  <c r="I17" i="8"/>
  <c r="J17" i="8" s="1"/>
  <c r="I14" i="8"/>
  <c r="J14" i="8" s="1"/>
  <c r="I15" i="8"/>
  <c r="I20" i="8"/>
  <c r="I19" i="8"/>
  <c r="J19" i="8" s="1"/>
  <c r="J11" i="8"/>
  <c r="J12" i="8"/>
  <c r="J6" i="8"/>
  <c r="I22" i="8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J15" i="8" l="1"/>
  <c r="J18" i="8"/>
  <c r="J20" i="8"/>
  <c r="J21" i="8"/>
  <c r="L24" i="8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<sst xmlns="http://schemas.openxmlformats.org/spreadsheetml/2006/main" count="238" uniqueCount="181">
  <si>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</si>
  <si>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</si>
  <si>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</si>
  <si>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</si>
  <si>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</si>
  <si>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</si>
  <si>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</si>
  <si>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</si>
  <si>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</si>
  <si>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</si>
  <si>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</si>
  <si>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</si>
  <si>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</si>
  <si>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</si>
  <si>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</si>
  <si>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</si>
  <si>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</si>
  <si>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</si>
  <si>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</si>
  <si>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</si>
  <si>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</si>
  <si>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</si>
  <si>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</si>
  <si>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</si>
  <si>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</si>
  <si>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</si>
  <si>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</si>
  <si>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</si>
  <si>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</si>
  <si>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</si>
  <si>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</si>
  <si>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</si>
  <si>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</si>
  <si>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</si>
  <si>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</si>
  <si>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</si>
  <si>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</si>
  <si>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</si>
  <si>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</si>
  <si>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</si>
  <si>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</si>
  <si>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</si>
  <si>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</si>
  <si>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</si>
  <si>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</si>
  <si>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</si>
  <si>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</si>
  <si>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</si>
  <si>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</si>
  <si>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</si>
  <si>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</si>
  <si>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</si>
  <si>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</si>
  <si>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</si>
  <si>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</si>
  <si>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</si>
  <si>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</si>
  <si>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</si>
  <si>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</si>
  <si>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</si>
  <si>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</si>
  <si>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</si>
  <si>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</si>
  <si>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</si>
  <si>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</si>
  <si>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</si>
  <si>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</si>
  <si>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</si>
  <si>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</si>
  <si>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</si>
  <si>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</si>
  <si>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</si>
  <si>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</si>
  <si>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</si>
  <si>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</si>
  <si>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</si>
  <si>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</si>
  <si>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</si>
  <si>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</si>
  <si>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</si>
  <si>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</si>
  <si>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</si>
  <si>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</si>
  <si>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</si>
  <si>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</si>
  <si>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</si>
  <si>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</si>
  <si>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</si>
  <si>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</si>
  <si>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</si>
  <si>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</si>
  <si>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</si>
  <si>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</si>
  <si>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</si>
  <si>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</si>
  <si>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</si>
  <si>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</si>
  <si>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</si>
  <si>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</si>
  <si>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</si>
  <si>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</si>
  <si>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</si>
  <si>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</si>
  <si>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</si>
  <si>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</si>
  <si>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</si>
  <si>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</si>
  <si>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</si>
  <si>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</si>
  <si>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</si>
  <si>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</si>
  <si>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</si>
  <si>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</si>
  <si>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</si>
  <si>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</si>
  <si>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</si>
  <si>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</si>
  <si>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</si>
  <si>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</si>
  <si>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</si>
  <si>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</si>
  <si>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</si>
  <si>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</si>
  <si>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</si>
  <si>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</si>
  <si>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NCC LTD</t>
  </si>
  <si>
    <t>Average</t>
  </si>
  <si>
    <t>Net debt</t>
  </si>
  <si>
    <t>S.No.</t>
  </si>
  <si>
    <t>Name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</si>
  <si>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</si>
  <si>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</si>
  <si>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</si>
  <si>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</si>
  <si>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</si>
  <si>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</si>
  <si>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</si>
  <si>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</si>
  <si>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</si>
  <si>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</si>
  <si>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</si>
  <si>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</si>
  <si>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</si>
  <si>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</si>
  <si>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</si>
  <si>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</si>
  <si>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</si>
  <si>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</si>
  <si>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</si>
  <si>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</si>
  <si>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</si>
  <si>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</si>
  <si>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</si>
  <si>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</si>
  <si>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</si>
  <si>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</si>
  <si>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</si>
  <si>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EV(Enterprise Value)</t>
  </si>
  <si>
    <t>CMP Rs.</t>
  </si>
  <si>
    <t>No. Eq. Shares Cr.</t>
  </si>
  <si>
    <t>Debt Rs.Cr.</t>
  </si>
  <si>
    <t>Cash End Rs.Cr.</t>
  </si>
  <si>
    <t>EV Rs.Cr.</t>
  </si>
  <si>
    <t>Sales Rs.Cr.</t>
  </si>
  <si>
    <t>EV / EBITDA</t>
  </si>
  <si>
    <t>NP Ann Rs.Cr.</t>
  </si>
  <si>
    <t>M.Cap / Sales</t>
  </si>
  <si>
    <t>Mar Cap Rs.Cr. </t>
  </si>
  <si>
    <t>Macrotech Devel.</t>
  </si>
  <si>
    <t>NCC</t>
  </si>
  <si>
    <t>National Standar</t>
  </si>
  <si>
    <t>Mahindra Life.</t>
  </si>
  <si>
    <t>Man Infra</t>
  </si>
  <si>
    <t>Ganesh Housing</t>
  </si>
  <si>
    <t>Arkade</t>
  </si>
  <si>
    <t>PSP Projects</t>
  </si>
  <si>
    <t>B.L.Kashyap</t>
  </si>
  <si>
    <t>Elpro Internatio</t>
  </si>
  <si>
    <t>Market captalization</t>
  </si>
  <si>
    <t>NCC CCA</t>
  </si>
  <si>
    <t>NCC Comparable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</si>
</sst>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2" formatCode="0.0\x"/>
  </numFmts>
  <fonts count="2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Gill Sans MT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Gill Sans MT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Gill Sans MT"/>
      <family val="2"/>
      <scheme val="minor"/>
    </font>
    <font>
      <sz val="11"/>
      <color rgb="FF22222F"/>
      <name val="Arial"/>
      <family val="2"/>
    </font>
    <font>
      <b/>
      <sz val="15"/>
      <color theme="1" tint="4.9989318521683403E-2"/>
      <name val="Times New Roman"/>
      <family val="1"/>
    </font>
    <font>
      <i/>
      <sz val="14"/>
      <color theme="1"/>
      <name val="Gill Sans MT"/>
      <family val="2"/>
      <scheme val="minor"/>
    </font>
    <font>
      <sz val="17"/>
      <color theme="0"/>
      <name val="Gill Sans MT"/>
      <family val="2"/>
      <scheme val="minor"/>
    </font>
    <font>
      <u/>
      <sz val="11"/>
      <color rgb="FF0070C0"/>
      <name val="calibri"/>
      <family val="2"/>
    </font>
    <font>
      <b/>
      <u/>
      <sz val="11"/>
      <color rgb="FF0070C0"/>
      <name val="calibri"/>
      <family val="2"/>
    </font>
    <font>
      <b/>
      <sz val="11"/>
      <color rgb="FF0070C0"/>
      <name val="calibri"/>
      <family val="2"/>
    </font>
    <font>
      <b/>
      <sz val="11"/>
      <color rgb="FF22222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</cellStyleXfs>
  <cellXfs count="129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/>
    <xf numFmtId="0" fontId="0" fillId="6" borderId="2" xfId="0" applyFill="1" applyBorder="1"/>
    <xf numFmtId="0" fontId="0" fillId="7" borderId="2" xfId="0" applyFill="1" applyBorder="1"/>
    <xf numFmtId="0" fontId="0" fillId="6" borderId="0" xfId="0" applyFill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3" fontId="0" fillId="0" borderId="0" xfId="0" applyNumberFormat="1"/>
    <xf numFmtId="0" fontId="16" fillId="0" borderId="0" xfId="0" applyFont="1"/>
    <xf numFmtId="0" fontId="0" fillId="0" borderId="9" xfId="0" applyBorder="1"/>
    <xf numFmtId="0" fontId="0" fillId="5" borderId="0" xfId="0" applyFill="1"/>
    <xf numFmtId="0" fontId="0" fillId="0" borderId="0" xfId="0" applyAlignment="1">
      <alignment vertical="center" wrapText="1"/>
    </xf>
    <xf numFmtId="0" fontId="4" fillId="0" borderId="0" xfId="8" applyAlignment="1">
      <alignment vertical="center" wrapText="1"/>
    </xf>
    <xf numFmtId="0" fontId="19" fillId="0" borderId="9" xfId="0" applyFont="1" applyBorder="1"/>
    <xf numFmtId="0" fontId="0" fillId="13" borderId="0" xfId="0" applyFill="1"/>
    <xf numFmtId="0" fontId="9" fillId="14" borderId="7" xfId="0" applyFont="1" applyFill="1" applyBorder="1"/>
    <xf numFmtId="0" fontId="9" fillId="14" borderId="10" xfId="0" applyFont="1" applyFill="1" applyBorder="1"/>
    <xf numFmtId="0" fontId="0" fillId="14" borderId="12" xfId="0" applyFill="1" applyBorder="1"/>
    <xf numFmtId="0" fontId="9" fillId="14" borderId="12" xfId="0" applyFont="1" applyFill="1" applyBorder="1"/>
    <xf numFmtId="0" fontId="9" fillId="14" borderId="16" xfId="0" applyFont="1" applyFill="1" applyBorder="1"/>
    <xf numFmtId="0" fontId="0" fillId="14" borderId="0" xfId="0" applyFill="1"/>
    <xf numFmtId="0" fontId="0" fillId="14" borderId="16" xfId="0" applyFill="1" applyBorder="1"/>
    <xf numFmtId="0" fontId="9" fillId="14" borderId="16" xfId="0" applyFont="1" applyFill="1" applyBorder="1" applyAlignment="1">
      <alignment horizontal="right"/>
    </xf>
    <xf numFmtId="0" fontId="0" fillId="12" borderId="9" xfId="0" applyFill="1" applyBorder="1"/>
    <xf numFmtId="3" fontId="0" fillId="12" borderId="9" xfId="0" applyNumberFormat="1" applyFill="1" applyBorder="1"/>
    <xf numFmtId="0" fontId="0" fillId="12" borderId="9" xfId="0" applyFill="1" applyBorder="1" applyAlignment="1">
      <alignment wrapText="1"/>
    </xf>
    <xf numFmtId="172" fontId="0" fillId="12" borderId="9" xfId="0" applyNumberFormat="1" applyFill="1" applyBorder="1"/>
    <xf numFmtId="3" fontId="0" fillId="0" borderId="9" xfId="0" applyNumberFormat="1" applyBorder="1"/>
    <xf numFmtId="0" fontId="0" fillId="0" borderId="9" xfId="0" applyBorder="1" applyAlignment="1">
      <alignment wrapText="1"/>
    </xf>
    <xf numFmtId="172" fontId="0" fillId="0" borderId="9" xfId="0" applyNumberFormat="1" applyBorder="1"/>
    <xf numFmtId="0" fontId="0" fillId="10" borderId="11" xfId="0" applyFill="1" applyBorder="1"/>
    <xf numFmtId="172" fontId="0" fillId="10" borderId="11" xfId="0" applyNumberFormat="1" applyFill="1" applyBorder="1"/>
    <xf numFmtId="0" fontId="9" fillId="11" borderId="17" xfId="0" applyFont="1" applyFill="1" applyBorder="1"/>
    <xf numFmtId="0" fontId="9" fillId="14" borderId="17" xfId="0" applyFont="1" applyFill="1" applyBorder="1" applyAlignment="1">
      <alignment horizontal="right"/>
    </xf>
    <xf numFmtId="0" fontId="0" fillId="12" borderId="18" xfId="0" applyFill="1" applyBorder="1"/>
    <xf numFmtId="3" fontId="0" fillId="12" borderId="18" xfId="0" applyNumberFormat="1" applyFill="1" applyBorder="1"/>
    <xf numFmtId="0" fontId="16" fillId="12" borderId="0" xfId="0" applyFont="1" applyFill="1"/>
    <xf numFmtId="0" fontId="0" fillId="0" borderId="19" xfId="0" applyBorder="1"/>
    <xf numFmtId="0" fontId="20" fillId="15" borderId="10" xfId="0" applyFont="1" applyFill="1" applyBorder="1"/>
    <xf numFmtId="3" fontId="0" fillId="5" borderId="9" xfId="0" applyNumberFormat="1" applyFill="1" applyBorder="1"/>
    <xf numFmtId="0" fontId="0" fillId="5" borderId="0" xfId="0" applyFill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6" fillId="0" borderId="19" xfId="0" applyFont="1" applyBorder="1"/>
    <xf numFmtId="0" fontId="3" fillId="8" borderId="0" xfId="0" applyFont="1" applyFill="1" applyAlignment="1">
      <alignment horizontal="left"/>
    </xf>
    <xf numFmtId="0" fontId="17" fillId="16" borderId="0" xfId="0" applyFont="1" applyFill="1" applyAlignment="1">
      <alignment horizontal="right" vertical="center" wrapText="1"/>
    </xf>
    <xf numFmtId="0" fontId="21" fillId="16" borderId="0" xfId="8" applyFont="1" applyFill="1" applyAlignment="1">
      <alignment horizontal="left" vertical="center"/>
    </xf>
    <xf numFmtId="0" fontId="22" fillId="16" borderId="0" xfId="8" applyFont="1" applyFill="1" applyAlignment="1">
      <alignment horizontal="left" vertical="center"/>
    </xf>
    <xf numFmtId="0" fontId="22" fillId="16" borderId="0" xfId="8" applyFont="1" applyFill="1" applyAlignment="1">
      <alignment horizontal="right" vertical="center" wrapText="1"/>
    </xf>
    <xf numFmtId="0" fontId="22" fillId="13" borderId="0" xfId="8" applyFont="1" applyFill="1" applyAlignment="1">
      <alignment horizontal="center" vertical="center" wrapText="1"/>
    </xf>
    <xf numFmtId="0" fontId="23" fillId="13" borderId="0" xfId="0" applyFont="1" applyFill="1"/>
    <xf numFmtId="0" fontId="23" fillId="0" borderId="0" xfId="0" applyFont="1"/>
    <xf numFmtId="0" fontId="3" fillId="0" borderId="0" xfId="0" applyFont="1" applyAlignment="1">
      <alignment vertical="center" wrapText="1"/>
    </xf>
    <xf numFmtId="0" fontId="24" fillId="16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9" fillId="14" borderId="13" xfId="0" applyFont="1" applyFill="1" applyBorder="1" applyAlignment="1">
      <alignment horizontal="center"/>
    </xf>
    <xf numFmtId="0" fontId="9" fillId="14" borderId="14" xfId="0" applyFont="1" applyFill="1" applyBorder="1" applyAlignment="1">
      <alignment horizontal="center"/>
    </xf>
    <xf numFmtId="0" fontId="9" fillId="14" borderId="15" xfId="0" applyFont="1" applyFill="1" applyBorder="1" applyAlignment="1">
      <alignment horizontal="center"/>
    </xf>
    <xf numFmtId="0" fontId="18" fillId="12" borderId="0" xfId="0" applyFont="1" applyFill="1" applyAlignment="1">
      <alignment horizontal="center" wrapText="1"/>
    </xf>
    <xf numFmtId="0" fontId="3" fillId="12" borderId="9" xfId="0" applyFont="1" applyFill="1" applyBorder="1"/>
    <xf numFmtId="0" fontId="3" fillId="0" borderId="9" xfId="0" applyFont="1" applyBorder="1"/>
    <xf numFmtId="3" fontId="3" fillId="12" borderId="9" xfId="0" applyNumberFormat="1" applyFont="1" applyFill="1" applyBorder="1"/>
    <xf numFmtId="3" fontId="3" fillId="5" borderId="9" xfId="0" applyNumberFormat="1" applyFont="1" applyFill="1" applyBorder="1"/>
    <xf numFmtId="3" fontId="3" fillId="0" borderId="9" xfId="0" applyNumberFormat="1" applyFont="1" applyBorder="1"/>
    <xf numFmtId="0" fontId="3" fillId="0" borderId="9" xfId="0" applyFont="1" applyBorder="1" applyAlignment="1">
      <alignment wrapText="1"/>
    </xf>
    <xf numFmtId="172" fontId="3" fillId="0" borderId="9" xfId="0" applyNumberFormat="1" applyFont="1" applyBorder="1"/>
  </cellXfs>
  <cellStyles count="9">
    <cellStyle name="Accent6 2" xfId="4"/>
    <cellStyle name="Comma 2" xfId="2"/>
    <cellStyle name="Hyperlink" xfId="8" builtinId="8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114300</xdr:rowOff>
    </xdr:from>
    <xdr:to>
      <xdr:col>9</xdr:col>
      <xdr:colOff>762001</xdr:colOff>
      <xdr:row>18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42975" y="114300"/>
          <a:ext cx="8562976" cy="34671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                                     </a:t>
          </a:r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 baseline="0"/>
        </a:p>
        <a:p>
          <a:pPr algn="ctr"/>
          <a:endParaRPr lang="en-US" sz="1100" baseline="0"/>
        </a:p>
      </xdr:txBody>
    </xdr:sp>
    <xdr:clientData/>
  </xdr:twoCellAnchor>
  <xdr:twoCellAnchor>
    <xdr:from>
      <xdr:col>1</xdr:col>
      <xdr:colOff>542925</xdr:colOff>
      <xdr:row>6</xdr:row>
      <xdr:rowOff>38100</xdr:rowOff>
    </xdr:from>
    <xdr:to>
      <xdr:col>2</xdr:col>
      <xdr:colOff>1504950</xdr:colOff>
      <xdr:row>8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52525" y="1181100"/>
          <a:ext cx="1571625" cy="40957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SUBMITTED BY                                                                                        </a:t>
          </a:r>
          <a:endParaRPr lang="en-US" sz="1100" b="1"/>
        </a:p>
      </xdr:txBody>
    </xdr:sp>
    <xdr:clientData/>
  </xdr:twoCellAnchor>
  <xdr:twoCellAnchor editAs="oneCell">
    <xdr:from>
      <xdr:col>4</xdr:col>
      <xdr:colOff>19051</xdr:colOff>
      <xdr:row>6</xdr:row>
      <xdr:rowOff>133350</xdr:rowOff>
    </xdr:from>
    <xdr:to>
      <xdr:col>6</xdr:col>
      <xdr:colOff>752476</xdr:colOff>
      <xdr:row>14</xdr:row>
      <xdr:rowOff>17311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6" y="1276350"/>
          <a:ext cx="2438400" cy="1407961"/>
        </a:xfrm>
        <a:prstGeom prst="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</xdr:pic>
    <xdr:clientData/>
  </xdr:twoCellAnchor>
  <xdr:twoCellAnchor>
    <xdr:from>
      <xdr:col>7</xdr:col>
      <xdr:colOff>581025</xdr:colOff>
      <xdr:row>6</xdr:row>
      <xdr:rowOff>28575</xdr:rowOff>
    </xdr:from>
    <xdr:to>
      <xdr:col>9</xdr:col>
      <xdr:colOff>419100</xdr:colOff>
      <xdr:row>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7620000" y="1171575"/>
          <a:ext cx="1543050" cy="428625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SUBMITRTED TO</a:t>
          </a:r>
          <a:endParaRPr lang="en-US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</xdr:col>
      <xdr:colOff>619125</xdr:colOff>
      <xdr:row>1</xdr:row>
      <xdr:rowOff>47625</xdr:rowOff>
    </xdr:from>
    <xdr:to>
      <xdr:col>8</xdr:col>
      <xdr:colOff>352425</xdr:colOff>
      <xdr:row>4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838325" y="238125"/>
          <a:ext cx="6734175" cy="581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C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ASSIGNMENT</a:t>
          </a:r>
          <a:r>
            <a:rPr lang="en-US" sz="1600" b="1" baseline="0">
              <a:solidFill>
                <a:srgbClr val="C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CORPORATE VALUATION</a:t>
          </a:r>
          <a:endParaRPr lang="en-US" sz="1600" b="1">
            <a:solidFill>
              <a:srgbClr val="C0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600"/>
        </a:p>
      </xdr:txBody>
    </xdr:sp>
    <xdr:clientData/>
  </xdr:twoCellAnchor>
  <xdr:twoCellAnchor>
    <xdr:from>
      <xdr:col>7</xdr:col>
      <xdr:colOff>590551</xdr:colOff>
      <xdr:row>10</xdr:row>
      <xdr:rowOff>161926</xdr:rowOff>
    </xdr:from>
    <xdr:to>
      <xdr:col>9</xdr:col>
      <xdr:colOff>438150</xdr:colOff>
      <xdr:row>12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7629526" y="2066926"/>
          <a:ext cx="1552574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DR.RV.Naveenan</a:t>
          </a:r>
        </a:p>
      </xdr:txBody>
    </xdr:sp>
    <xdr:clientData/>
  </xdr:twoCellAnchor>
  <xdr:twoCellAnchor>
    <xdr:from>
      <xdr:col>1</xdr:col>
      <xdr:colOff>533400</xdr:colOff>
      <xdr:row>10</xdr:row>
      <xdr:rowOff>161924</xdr:rowOff>
    </xdr:from>
    <xdr:to>
      <xdr:col>2</xdr:col>
      <xdr:colOff>1533525</xdr:colOff>
      <xdr:row>14</xdr:row>
      <xdr:rowOff>44822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1145988" y="2029571"/>
          <a:ext cx="1612713" cy="629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EHSAN AYAZ</a:t>
          </a:r>
        </a:p>
        <a:p>
          <a:r>
            <a:rPr lang="en-US" sz="1100" baseline="0"/>
            <a:t>PRN: 23020841216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16/00000031/?sort=enterprise+value&amp;order=desc" TargetMode="External"/><Relationship Id="rId13" Type="http://schemas.openxmlformats.org/officeDocument/2006/relationships/hyperlink" Target="https://www.screener.in/company/compare/00000016/00000031/?sort=market+capitalization&amp;order=desc" TargetMode="External"/><Relationship Id="rId18" Type="http://schemas.openxmlformats.org/officeDocument/2006/relationships/hyperlink" Target="https://www.screener.in/company/MANINFRA/consolidated/" TargetMode="External"/><Relationship Id="rId3" Type="http://schemas.openxmlformats.org/officeDocument/2006/relationships/hyperlink" Target="https://www.screener.in/company/compare/00000016/00000031/?sort=name&amp;order=desc" TargetMode="External"/><Relationship Id="rId21" Type="http://schemas.openxmlformats.org/officeDocument/2006/relationships/hyperlink" Target="https://www.screener.in/company/PSPPROJECT/" TargetMode="External"/><Relationship Id="rId7" Type="http://schemas.openxmlformats.org/officeDocument/2006/relationships/hyperlink" Target="https://www.screener.in/company/compare/00000016/00000031/?sort=cash+end+of+last+year&amp;order=desc" TargetMode="External"/><Relationship Id="rId12" Type="http://schemas.openxmlformats.org/officeDocument/2006/relationships/hyperlink" Target="https://www.screener.in/company/compare/00000016/00000031/?sort=market+cap+to+sales&amp;order=desc" TargetMode="External"/><Relationship Id="rId17" Type="http://schemas.openxmlformats.org/officeDocument/2006/relationships/hyperlink" Target="https://www.screener.in/company/MAHLIFE/consolidated/" TargetMode="External"/><Relationship Id="rId2" Type="http://schemas.openxmlformats.org/officeDocument/2006/relationships/hyperlink" Target="https://www.screener.in/company/compare/00000016/00000031/?order=asc" TargetMode="External"/><Relationship Id="rId16" Type="http://schemas.openxmlformats.org/officeDocument/2006/relationships/hyperlink" Target="https://www.screener.in/company/504882/" TargetMode="External"/><Relationship Id="rId20" Type="http://schemas.openxmlformats.org/officeDocument/2006/relationships/hyperlink" Target="https://www.screener.in/company/ARKADE/consolidated/" TargetMode="External"/><Relationship Id="rId1" Type="http://schemas.openxmlformats.org/officeDocument/2006/relationships/hyperlink" Target="https://www.screener.in/company/compare/00000026/?sort=market+capitalization&amp;order=desc" TargetMode="External"/><Relationship Id="rId6" Type="http://schemas.openxmlformats.org/officeDocument/2006/relationships/hyperlink" Target="https://www.screener.in/company/compare/00000016/00000031/?sort=debt&amp;order=desc" TargetMode="External"/><Relationship Id="rId11" Type="http://schemas.openxmlformats.org/officeDocument/2006/relationships/hyperlink" Target="https://www.screener.in/company/compare/00000016/00000031/?sort=net+profit+last+year&amp;order=desc" TargetMode="External"/><Relationship Id="rId5" Type="http://schemas.openxmlformats.org/officeDocument/2006/relationships/hyperlink" Target="https://www.screener.in/company/compare/00000016/00000031/?sort=number+of+equity+shares&amp;order=desc" TargetMode="External"/><Relationship Id="rId15" Type="http://schemas.openxmlformats.org/officeDocument/2006/relationships/hyperlink" Target="https://www.screener.in/company/NCC/consolidated/" TargetMode="External"/><Relationship Id="rId23" Type="http://schemas.openxmlformats.org/officeDocument/2006/relationships/hyperlink" Target="https://www.screener.in/company/504000/consolidated/" TargetMode="External"/><Relationship Id="rId10" Type="http://schemas.openxmlformats.org/officeDocument/2006/relationships/hyperlink" Target="https://www.screener.in/company/compare/00000016/00000031/?sort=evebitda&amp;order=desc" TargetMode="External"/><Relationship Id="rId19" Type="http://schemas.openxmlformats.org/officeDocument/2006/relationships/hyperlink" Target="https://www.screener.in/company/GANESHHOUC/consolidated/" TargetMode="External"/><Relationship Id="rId4" Type="http://schemas.openxmlformats.org/officeDocument/2006/relationships/hyperlink" Target="https://www.screener.in/company/compare/00000016/00000031/?sort=current+price&amp;order=desc" TargetMode="External"/><Relationship Id="rId9" Type="http://schemas.openxmlformats.org/officeDocument/2006/relationships/hyperlink" Target="https://www.screener.in/company/compare/00000016/00000031/?sort=sales&amp;order=desc" TargetMode="External"/><Relationship Id="rId14" Type="http://schemas.openxmlformats.org/officeDocument/2006/relationships/hyperlink" Target="https://www.screener.in/company/LODHA/consolidated/" TargetMode="External"/><Relationship Id="rId22" Type="http://schemas.openxmlformats.org/officeDocument/2006/relationships/hyperlink" Target="https://www.screener.in/company/BLKASHYAP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showGridLines="0" topLeftCell="A5" zoomScale="85" zoomScaleNormal="85" workbookViewId="0">
      <selection activeCell="G23" sqref="G23"/>
    </sheetView>
  </sheetViews>
  <sheetFormatPr defaultRowHeight="15" x14ac:dyDescent="0.25"/>
  <cols>
    <col min="3" max="3" width="26.7109375" bestFit="1" customWidth="1"/>
    <col min="4" max="4" width="12" bestFit="1" customWidth="1"/>
    <col min="5" max="5" width="17.7109375" bestFit="1" customWidth="1"/>
    <col min="6" max="6" width="7.85546875" customWidth="1"/>
    <col min="7" max="7" width="23" customWidth="1"/>
    <col min="8" max="8" width="17.7109375" customWidth="1"/>
    <col min="9" max="9" width="7.85546875" customWidth="1"/>
    <col min="10" max="10" width="11.7109375" customWidth="1"/>
    <col min="11" max="11" width="11" customWidth="1"/>
    <col min="12" max="12" width="11.7109375" customWidth="1"/>
  </cols>
  <sheetData>
    <row r="2" spans="7:11" x14ac:dyDescent="0.25">
      <c r="G2" s="110"/>
      <c r="H2" s="110"/>
      <c r="I2" s="110"/>
      <c r="J2" s="110"/>
      <c r="K2" s="110"/>
    </row>
    <row r="3" spans="7:11" x14ac:dyDescent="0.25">
      <c r="G3" s="110"/>
      <c r="H3" s="110"/>
      <c r="I3" s="110"/>
      <c r="J3" s="110"/>
      <c r="K3" s="110"/>
    </row>
  </sheetData>
  <mergeCells count="1">
    <mergeCell ref="G2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zoomScale="85" zoomScaleNormal="85" workbookViewId="0">
      <pane ySplit="3" topLeftCell="A4" activePane="bottomLeft" state="frozen"/>
      <selection pane="bottomLeft" activeCell="L6" sqref="L6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111" t="str">
        <f>"Historical Financial Statement - "&amp;'Data Sheet'!B1</f>
        <v>Historical Financial Statement - NCC LTD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 x14ac:dyDescent="0.25">
      <c r="B3" s="49" t="s">
        <v>55</v>
      </c>
      <c r="C3" s="50">
        <f>'Data Sheet'!B16</f>
        <v>42094</v>
      </c>
      <c r="D3" s="50">
        <f>'Data Sheet'!C16</f>
        <v>42460</v>
      </c>
      <c r="E3" s="50">
        <f>'Data Sheet'!D16</f>
        <v>42825</v>
      </c>
      <c r="F3" s="50">
        <f>'Data Sheet'!E16</f>
        <v>43190</v>
      </c>
      <c r="G3" s="50">
        <f>'Data Sheet'!F16</f>
        <v>43555</v>
      </c>
      <c r="H3" s="50">
        <f>'Data Sheet'!G16</f>
        <v>43921</v>
      </c>
      <c r="I3" s="50">
        <f>'Data Sheet'!H16</f>
        <v>44286</v>
      </c>
      <c r="J3" s="50">
        <f>'Data Sheet'!I16</f>
        <v>44651</v>
      </c>
      <c r="K3" s="50">
        <f>'Data Sheet'!J16</f>
        <v>45016</v>
      </c>
      <c r="L3" s="50">
        <f>'Data Sheet'!K16</f>
        <v>45382</v>
      </c>
      <c r="M3" s="51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9512.89</v>
      </c>
      <c r="D6" s="12">
        <f>IFERROR('Data Sheet'!C17,0)</f>
        <v>9527.25</v>
      </c>
      <c r="E6" s="12">
        <f>IFERROR('Data Sheet'!D17,0)</f>
        <v>9000.57</v>
      </c>
      <c r="F6" s="12">
        <f>IFERROR('Data Sheet'!E17,0)</f>
        <v>8390.64</v>
      </c>
      <c r="G6" s="12">
        <f>IFERROR('Data Sheet'!F17,0)</f>
        <v>12895.64</v>
      </c>
      <c r="H6" s="12">
        <f>IFERROR('Data Sheet'!G17,0)</f>
        <v>8901.07</v>
      </c>
      <c r="I6" s="12">
        <f>IFERROR('Data Sheet'!H17,0)</f>
        <v>7949.42</v>
      </c>
      <c r="J6" s="12">
        <f>IFERROR('Data Sheet'!I17,0)</f>
        <v>11137.96</v>
      </c>
      <c r="K6" s="12">
        <f>IFERROR('Data Sheet'!J17,0)</f>
        <v>15553.41</v>
      </c>
      <c r="L6" s="12">
        <f>IFERROR('Data Sheet'!K17,0)</f>
        <v>20844.96</v>
      </c>
      <c r="M6" s="12">
        <f>IFERROR(SUM('Data Sheet'!H42:K42),0)</f>
        <v>21992.55</v>
      </c>
    </row>
    <row r="7" spans="1:13" x14ac:dyDescent="0.25">
      <c r="B7" s="15" t="s">
        <v>59</v>
      </c>
      <c r="C7" s="16" t="s">
        <v>60</v>
      </c>
      <c r="D7" s="17">
        <f>D6/C6-1</f>
        <v>1.5095307524843893E-3</v>
      </c>
      <c r="E7" s="17">
        <f t="shared" ref="E7:M7" si="0">E6/D6-1</f>
        <v>-5.5281429583562969E-2</v>
      </c>
      <c r="F7" s="17">
        <f t="shared" si="0"/>
        <v>-6.7765708171815819E-2</v>
      </c>
      <c r="G7" s="17">
        <f t="shared" si="0"/>
        <v>0.53690779249258691</v>
      </c>
      <c r="H7" s="17">
        <f t="shared" si="0"/>
        <v>-0.30976128365866296</v>
      </c>
      <c r="I7" s="17">
        <f t="shared" si="0"/>
        <v>-0.10691411257298278</v>
      </c>
      <c r="J7" s="17">
        <f t="shared" si="0"/>
        <v>0.40110347673163571</v>
      </c>
      <c r="K7" s="17">
        <f t="shared" si="0"/>
        <v>0.39643256036114338</v>
      </c>
      <c r="L7" s="17">
        <f t="shared" si="0"/>
        <v>0.34021799721090096</v>
      </c>
      <c r="M7" s="17">
        <f t="shared" si="0"/>
        <v>5.5053595689317669E-2</v>
      </c>
    </row>
    <row r="9" spans="1:13" x14ac:dyDescent="0.25">
      <c r="B9" t="s">
        <v>61</v>
      </c>
      <c r="C9" s="12">
        <f>IFERROR(SUM('Data Sheet'!B18,'Data Sheet'!B20:B22)-1*'Data Sheet'!B19,0)</f>
        <v>8244.0199999999986</v>
      </c>
      <c r="D9" s="12">
        <f>IFERROR(SUM('Data Sheet'!C18,'Data Sheet'!C20:C22)-1*'Data Sheet'!C19,0)</f>
        <v>8239.66</v>
      </c>
      <c r="E9" s="12">
        <f>IFERROR(SUM('Data Sheet'!D18,'Data Sheet'!D20:D22)-1*'Data Sheet'!D19,0)</f>
        <v>8029.619999999999</v>
      </c>
      <c r="F9" s="12">
        <f>IFERROR(SUM('Data Sheet'!E18,'Data Sheet'!E20:E22)-1*'Data Sheet'!E19,0)</f>
        <v>7265.119999999999</v>
      </c>
      <c r="G9" s="12">
        <f>IFERROR(SUM('Data Sheet'!F18,'Data Sheet'!F20:F22)-1*'Data Sheet'!F19,0)</f>
        <v>11033.5</v>
      </c>
      <c r="H9" s="12">
        <f>IFERROR(SUM('Data Sheet'!G18,'Data Sheet'!G20:G22)-1*'Data Sheet'!G19,0)</f>
        <v>7565.54</v>
      </c>
      <c r="I9" s="12">
        <f>IFERROR(SUM('Data Sheet'!H18,'Data Sheet'!H20:H22)-1*'Data Sheet'!H19,0)</f>
        <v>6854.31</v>
      </c>
      <c r="J9" s="12">
        <f>IFERROR(SUM('Data Sheet'!I18,'Data Sheet'!I20:I22)-1*'Data Sheet'!I19,0)</f>
        <v>9902.0499999999993</v>
      </c>
      <c r="K9" s="12">
        <f>IFERROR(SUM('Data Sheet'!J18,'Data Sheet'!J20:J22)-1*'Data Sheet'!J19,0)</f>
        <v>13818.85</v>
      </c>
      <c r="L9" s="12">
        <f>IFERROR(SUM('Data Sheet'!K18,'Data Sheet'!K20:K22)-1*'Data Sheet'!K19,0)</f>
        <v>18817.509999999998</v>
      </c>
      <c r="M9" s="12">
        <f>IFERROR(SUM('Data Sheet'!H43:K43),0)</f>
        <v>20154.97</v>
      </c>
    </row>
    <row r="10" spans="1:13" x14ac:dyDescent="0.25">
      <c r="B10" s="15" t="s">
        <v>62</v>
      </c>
      <c r="C10" s="17">
        <f>C9/C6</f>
        <v>0.86661571825176142</v>
      </c>
      <c r="D10" s="17">
        <f t="shared" ref="D10:M10" si="1">D9/D6</f>
        <v>0.86485187226114568</v>
      </c>
      <c r="E10" s="17">
        <f t="shared" si="1"/>
        <v>0.89212349884507303</v>
      </c>
      <c r="F10" s="17">
        <f t="shared" si="1"/>
        <v>0.86586005358351681</v>
      </c>
      <c r="G10" s="17">
        <f t="shared" si="1"/>
        <v>0.85559925680307458</v>
      </c>
      <c r="H10" s="17">
        <f t="shared" si="1"/>
        <v>0.84995848813681951</v>
      </c>
      <c r="I10" s="17">
        <f t="shared" si="1"/>
        <v>0.86224026406957999</v>
      </c>
      <c r="J10" s="17">
        <f t="shared" si="1"/>
        <v>0.88903623284694866</v>
      </c>
      <c r="K10" s="17">
        <f t="shared" si="1"/>
        <v>0.88847718924660257</v>
      </c>
      <c r="L10" s="17">
        <f t="shared" si="1"/>
        <v>0.90273668071322755</v>
      </c>
      <c r="M10" s="17">
        <f t="shared" si="1"/>
        <v>0.91644534171799097</v>
      </c>
    </row>
    <row r="12" spans="1:13" x14ac:dyDescent="0.25">
      <c r="B12" t="s">
        <v>63</v>
      </c>
      <c r="C12" s="18">
        <f>C6-C9</f>
        <v>1268.8700000000008</v>
      </c>
      <c r="D12" s="18">
        <f t="shared" ref="D12:M12" si="2">D6-D9</f>
        <v>1287.5900000000001</v>
      </c>
      <c r="E12" s="18">
        <f t="shared" si="2"/>
        <v>970.95000000000073</v>
      </c>
      <c r="F12" s="18">
        <f t="shared" si="2"/>
        <v>1125.5200000000004</v>
      </c>
      <c r="G12" s="18">
        <f t="shared" si="2"/>
        <v>1862.1399999999994</v>
      </c>
      <c r="H12" s="18">
        <f t="shared" si="2"/>
        <v>1335.5299999999997</v>
      </c>
      <c r="I12" s="18">
        <f t="shared" si="2"/>
        <v>1095.1099999999997</v>
      </c>
      <c r="J12" s="18">
        <f t="shared" si="2"/>
        <v>1235.9099999999999</v>
      </c>
      <c r="K12" s="18">
        <f t="shared" si="2"/>
        <v>1734.5599999999995</v>
      </c>
      <c r="L12" s="18">
        <f t="shared" si="2"/>
        <v>2027.4500000000007</v>
      </c>
      <c r="M12" s="18">
        <f t="shared" si="2"/>
        <v>1837.5799999999981</v>
      </c>
    </row>
    <row r="13" spans="1:13" x14ac:dyDescent="0.25">
      <c r="B13" s="15" t="s">
        <v>69</v>
      </c>
      <c r="C13" s="17">
        <f>C12/C6</f>
        <v>0.13338428174823855</v>
      </c>
      <c r="D13" s="17">
        <f t="shared" ref="D13:M13" si="3">D12/D6</f>
        <v>0.13514812773885435</v>
      </c>
      <c r="E13" s="17">
        <f t="shared" si="3"/>
        <v>0.10787650115492693</v>
      </c>
      <c r="F13" s="17">
        <f t="shared" si="3"/>
        <v>0.13413994641648319</v>
      </c>
      <c r="G13" s="17">
        <f t="shared" si="3"/>
        <v>0.14440074319692545</v>
      </c>
      <c r="H13" s="17">
        <f t="shared" si="3"/>
        <v>0.15004151186318046</v>
      </c>
      <c r="I13" s="17">
        <f t="shared" si="3"/>
        <v>0.13775973593042004</v>
      </c>
      <c r="J13" s="17">
        <f t="shared" si="3"/>
        <v>0.11096376715305137</v>
      </c>
      <c r="K13" s="17">
        <f t="shared" si="3"/>
        <v>0.11152281075339746</v>
      </c>
      <c r="L13" s="17">
        <f t="shared" si="3"/>
        <v>9.7263319286772482E-2</v>
      </c>
      <c r="M13" s="17">
        <f t="shared" si="3"/>
        <v>8.3554658282009045E-2</v>
      </c>
    </row>
    <row r="15" spans="1:13" x14ac:dyDescent="0.25">
      <c r="B15" t="s">
        <v>64</v>
      </c>
      <c r="C15" s="18">
        <f>IFERROR(SUM('Data Sheet'!B23:B24),0)</f>
        <v>269.16999999999996</v>
      </c>
      <c r="D15" s="18">
        <f>IFERROR(SUM('Data Sheet'!C23:C24),0)</f>
        <v>300.68</v>
      </c>
      <c r="E15" s="18">
        <f>IFERROR(SUM('Data Sheet'!D23:D24),0)</f>
        <v>295.96000000000004</v>
      </c>
      <c r="F15" s="18">
        <f>IFERROR(SUM('Data Sheet'!E23:E24),0)</f>
        <v>252.84</v>
      </c>
      <c r="G15" s="18">
        <f>IFERROR(SUM('Data Sheet'!F23:F24),0)</f>
        <v>269.83</v>
      </c>
      <c r="H15" s="18">
        <f>IFERROR(SUM('Data Sheet'!G23:G24),0)</f>
        <v>258.89999999999998</v>
      </c>
      <c r="I15" s="18">
        <f>IFERROR(SUM('Data Sheet'!H23:H24),0)</f>
        <v>176.03</v>
      </c>
      <c r="J15" s="18">
        <f>IFERROR(SUM('Data Sheet'!I23:I24),0)</f>
        <v>208.14</v>
      </c>
      <c r="K15" s="18">
        <f>IFERROR(SUM('Data Sheet'!J23:J24),0)</f>
        <v>275.57</v>
      </c>
      <c r="L15" s="18">
        <f>IFERROR(SUM('Data Sheet'!K23:K24),0)</f>
        <v>258.57</v>
      </c>
      <c r="M15" s="18"/>
    </row>
    <row r="16" spans="1:13" x14ac:dyDescent="0.25">
      <c r="B16" s="15" t="s">
        <v>65</v>
      </c>
      <c r="C16" s="17">
        <f>C15/C6</f>
        <v>2.8295291967004768E-2</v>
      </c>
      <c r="D16" s="17">
        <f t="shared" ref="D16:M16" si="4">D15/D6</f>
        <v>3.1559998950379177E-2</v>
      </c>
      <c r="E16" s="17">
        <f t="shared" si="4"/>
        <v>3.2882361894857777E-2</v>
      </c>
      <c r="F16" s="17">
        <f t="shared" si="4"/>
        <v>3.0133577414833676E-2</v>
      </c>
      <c r="G16" s="17">
        <f t="shared" si="4"/>
        <v>2.0924126293848152E-2</v>
      </c>
      <c r="H16" s="17">
        <f t="shared" si="4"/>
        <v>2.9086390737293379E-2</v>
      </c>
      <c r="I16" s="17">
        <f t="shared" si="4"/>
        <v>2.2143753883931156E-2</v>
      </c>
      <c r="J16" s="17">
        <f t="shared" si="4"/>
        <v>1.868744366113723E-2</v>
      </c>
      <c r="K16" s="17">
        <f t="shared" si="4"/>
        <v>1.7717658056979144E-2</v>
      </c>
      <c r="L16" s="17">
        <f t="shared" si="4"/>
        <v>1.2404437331613973E-2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999.70000000000084</v>
      </c>
      <c r="D18" s="18">
        <f t="shared" si="5"/>
        <v>986.91000000000008</v>
      </c>
      <c r="E18" s="18">
        <f t="shared" si="5"/>
        <v>674.99000000000069</v>
      </c>
      <c r="F18" s="18">
        <f t="shared" si="5"/>
        <v>872.6800000000004</v>
      </c>
      <c r="G18" s="18">
        <f t="shared" si="5"/>
        <v>1592.3099999999995</v>
      </c>
      <c r="H18" s="18">
        <f t="shared" si="5"/>
        <v>1076.6299999999997</v>
      </c>
      <c r="I18" s="18">
        <f t="shared" si="5"/>
        <v>919.0799999999997</v>
      </c>
      <c r="J18" s="18">
        <f t="shared" si="5"/>
        <v>1027.77</v>
      </c>
      <c r="K18" s="18">
        <f t="shared" si="5"/>
        <v>1458.9899999999996</v>
      </c>
      <c r="L18" s="18">
        <f t="shared" si="5"/>
        <v>1768.8800000000008</v>
      </c>
      <c r="M18" s="18">
        <f>IFERROR(SUM('Data Sheet'!H51:K51),0)</f>
        <v>1907.03</v>
      </c>
    </row>
    <row r="19" spans="2:13" x14ac:dyDescent="0.25">
      <c r="B19" s="15" t="s">
        <v>66</v>
      </c>
      <c r="C19" s="17">
        <f>C18/C6</f>
        <v>0.10508898978123377</v>
      </c>
      <c r="D19" s="17">
        <f t="shared" ref="D19:M19" si="6">D18/D6</f>
        <v>0.10358812878847518</v>
      </c>
      <c r="E19" s="17">
        <f t="shared" si="6"/>
        <v>7.4994139260069162E-2</v>
      </c>
      <c r="F19" s="17">
        <f t="shared" si="6"/>
        <v>0.10400636900164952</v>
      </c>
      <c r="G19" s="17">
        <f t="shared" si="6"/>
        <v>0.12347661690307729</v>
      </c>
      <c r="H19" s="17">
        <f t="shared" si="6"/>
        <v>0.12095512112588708</v>
      </c>
      <c r="I19" s="17">
        <f t="shared" si="6"/>
        <v>0.11561598204648889</v>
      </c>
      <c r="J19" s="17">
        <f t="shared" si="6"/>
        <v>9.2276323491914142E-2</v>
      </c>
      <c r="K19" s="17">
        <f t="shared" si="6"/>
        <v>9.3805152696418315E-2</v>
      </c>
      <c r="L19" s="17">
        <f t="shared" si="6"/>
        <v>8.4858881955158505E-2</v>
      </c>
      <c r="M19" s="17">
        <f t="shared" si="6"/>
        <v>8.6712545839386521E-2</v>
      </c>
    </row>
    <row r="21" spans="2:13" x14ac:dyDescent="0.25">
      <c r="B21" t="s">
        <v>21</v>
      </c>
      <c r="C21" s="18">
        <f>IFERROR('Data Sheet'!B27,0)</f>
        <v>737.12</v>
      </c>
      <c r="D21" s="18">
        <f>IFERROR('Data Sheet'!C27,0)</f>
        <v>642.58000000000004</v>
      </c>
      <c r="E21" s="18">
        <f>IFERROR('Data Sheet'!D27,0)</f>
        <v>513.34</v>
      </c>
      <c r="F21" s="18">
        <f>IFERROR('Data Sheet'!E27,0)</f>
        <v>459.56</v>
      </c>
      <c r="G21" s="18">
        <f>IFERROR('Data Sheet'!F27,0)</f>
        <v>521.95000000000005</v>
      </c>
      <c r="H21" s="18">
        <f>IFERROR('Data Sheet'!G27,0)</f>
        <v>553.85</v>
      </c>
      <c r="I21" s="18">
        <f>IFERROR('Data Sheet'!H27,0)</f>
        <v>479.91</v>
      </c>
      <c r="J21" s="18">
        <f>IFERROR('Data Sheet'!I27,0)</f>
        <v>478.07</v>
      </c>
      <c r="K21" s="18">
        <f>IFERROR('Data Sheet'!J27,0)</f>
        <v>515.22</v>
      </c>
      <c r="L21" s="18">
        <f>IFERROR('Data Sheet'!K27,0)</f>
        <v>594.75</v>
      </c>
      <c r="M21" s="18">
        <f>IFERROR(SUM('Data Sheet'!H46:K46),0)</f>
        <v>617.6400000000001</v>
      </c>
    </row>
    <row r="22" spans="2:13" x14ac:dyDescent="0.25">
      <c r="B22" s="15" t="s">
        <v>67</v>
      </c>
      <c r="C22" s="17">
        <f>C21/C6</f>
        <v>7.7486442080167015E-2</v>
      </c>
      <c r="D22" s="17">
        <f t="shared" ref="D22:M22" si="7">D21/D6</f>
        <v>6.7446534939253205E-2</v>
      </c>
      <c r="E22" s="17">
        <f t="shared" si="7"/>
        <v>5.7034165613955565E-2</v>
      </c>
      <c r="F22" s="17">
        <f t="shared" si="7"/>
        <v>5.4770553855248233E-2</v>
      </c>
      <c r="G22" s="17">
        <f t="shared" si="7"/>
        <v>4.047492020558887E-2</v>
      </c>
      <c r="H22" s="17">
        <f t="shared" si="7"/>
        <v>6.2222856353224956E-2</v>
      </c>
      <c r="I22" s="17">
        <f t="shared" si="7"/>
        <v>6.0370442120305637E-2</v>
      </c>
      <c r="J22" s="17">
        <f t="shared" si="7"/>
        <v>4.2922581873161697E-2</v>
      </c>
      <c r="K22" s="17">
        <f t="shared" si="7"/>
        <v>3.3125854716104061E-2</v>
      </c>
      <c r="L22" s="17">
        <f t="shared" si="7"/>
        <v>2.8532076818569094E-2</v>
      </c>
      <c r="M22" s="17">
        <f t="shared" si="7"/>
        <v>2.8084055737056416E-2</v>
      </c>
    </row>
    <row r="24" spans="2:13" x14ac:dyDescent="0.25">
      <c r="B24" t="s">
        <v>20</v>
      </c>
      <c r="C24" s="18">
        <f>IFERROR('Data Sheet'!B26,0)</f>
        <v>276.58999999999997</v>
      </c>
      <c r="D24" s="18">
        <f>IFERROR('Data Sheet'!C26,0)</f>
        <v>248.25</v>
      </c>
      <c r="E24" s="18">
        <f>IFERROR('Data Sheet'!D26,0)</f>
        <v>202.55</v>
      </c>
      <c r="F24" s="18">
        <f>IFERROR('Data Sheet'!E26,0)</f>
        <v>171.51</v>
      </c>
      <c r="G24" s="18">
        <f>IFERROR('Data Sheet'!F26,0)</f>
        <v>192.53</v>
      </c>
      <c r="H24" s="18">
        <f>IFERROR('Data Sheet'!G26,0)</f>
        <v>199.22</v>
      </c>
      <c r="I24" s="18">
        <f>IFERROR('Data Sheet'!H26,0)</f>
        <v>181.25</v>
      </c>
      <c r="J24" s="18">
        <f>IFERROR('Data Sheet'!I26,0)</f>
        <v>186.74</v>
      </c>
      <c r="K24" s="18">
        <f>IFERROR('Data Sheet'!J26,0)</f>
        <v>202.61</v>
      </c>
      <c r="L24" s="18">
        <f>IFERROR('Data Sheet'!K26,0)</f>
        <v>211.92</v>
      </c>
      <c r="M24" s="18">
        <f>IFERROR(SUM('Data Sheet'!H45:K45),0)</f>
        <v>212.82000000000002</v>
      </c>
    </row>
    <row r="25" spans="2:13" x14ac:dyDescent="0.25">
      <c r="B25" s="15" t="s">
        <v>68</v>
      </c>
      <c r="C25" s="17">
        <f t="shared" ref="C25:M25" si="8">C24/C6</f>
        <v>2.9075286269472263E-2</v>
      </c>
      <c r="D25" s="17">
        <f t="shared" si="8"/>
        <v>2.6056836967645439E-2</v>
      </c>
      <c r="E25" s="17">
        <f t="shared" si="8"/>
        <v>2.2504130293970272E-2</v>
      </c>
      <c r="F25" s="17">
        <f t="shared" si="8"/>
        <v>2.0440633849146191E-2</v>
      </c>
      <c r="G25" s="17">
        <f t="shared" si="8"/>
        <v>1.4929852260143739E-2</v>
      </c>
      <c r="H25" s="17">
        <f t="shared" si="8"/>
        <v>2.2381578843891803E-2</v>
      </c>
      <c r="I25" s="17">
        <f t="shared" si="8"/>
        <v>2.2800405564179525E-2</v>
      </c>
      <c r="J25" s="17">
        <f t="shared" si="8"/>
        <v>1.6766086428753563E-2</v>
      </c>
      <c r="K25" s="17">
        <f t="shared" si="8"/>
        <v>1.3026725329043599E-2</v>
      </c>
      <c r="L25" s="17">
        <f t="shared" si="8"/>
        <v>1.0166486287332766E-2</v>
      </c>
      <c r="M25" s="17">
        <f t="shared" si="8"/>
        <v>9.6769133183737237E-3</v>
      </c>
    </row>
    <row r="27" spans="2:13" x14ac:dyDescent="0.25">
      <c r="B27" t="s">
        <v>70</v>
      </c>
      <c r="C27" s="18">
        <f t="shared" ref="C27:M27" si="9">IFERROR(C18-SUM(C24,C21),0)</f>
        <v>-14.009999999999195</v>
      </c>
      <c r="D27" s="18">
        <f t="shared" si="9"/>
        <v>96.080000000000041</v>
      </c>
      <c r="E27" s="18">
        <f t="shared" si="9"/>
        <v>-40.899999999999409</v>
      </c>
      <c r="F27" s="18">
        <f t="shared" si="9"/>
        <v>241.61000000000047</v>
      </c>
      <c r="G27" s="18">
        <f t="shared" si="9"/>
        <v>877.82999999999947</v>
      </c>
      <c r="H27" s="18">
        <f t="shared" si="9"/>
        <v>323.5599999999996</v>
      </c>
      <c r="I27" s="12">
        <f t="shared" si="9"/>
        <v>257.91999999999962</v>
      </c>
      <c r="J27" s="12">
        <f t="shared" si="9"/>
        <v>362.96000000000004</v>
      </c>
      <c r="K27" s="12">
        <f t="shared" si="9"/>
        <v>741.15999999999951</v>
      </c>
      <c r="L27" s="12">
        <f t="shared" si="9"/>
        <v>962.21000000000083</v>
      </c>
      <c r="M27" s="12">
        <f t="shared" si="9"/>
        <v>1076.5699999999997</v>
      </c>
    </row>
    <row r="28" spans="2:13" x14ac:dyDescent="0.25">
      <c r="B28" s="15" t="s">
        <v>71</v>
      </c>
      <c r="C28" s="17">
        <f t="shared" ref="C28:M28" si="10">C27/C6</f>
        <v>-1.4727385684055209E-3</v>
      </c>
      <c r="D28" s="17">
        <f t="shared" si="10"/>
        <v>1.0084756881576534E-2</v>
      </c>
      <c r="E28" s="17">
        <f t="shared" si="10"/>
        <v>-4.5441566478566812E-3</v>
      </c>
      <c r="F28" s="17">
        <f t="shared" si="10"/>
        <v>2.8795181297255095E-2</v>
      </c>
      <c r="G28" s="17">
        <f t="shared" si="10"/>
        <v>6.8071844437344681E-2</v>
      </c>
      <c r="H28" s="17">
        <f t="shared" si="10"/>
        <v>3.6350685928770318E-2</v>
      </c>
      <c r="I28" s="17">
        <f t="shared" si="10"/>
        <v>3.2445134362003719E-2</v>
      </c>
      <c r="J28" s="17">
        <f t="shared" si="10"/>
        <v>3.2587655189998892E-2</v>
      </c>
      <c r="K28" s="17">
        <f t="shared" si="10"/>
        <v>4.7652572651270653E-2</v>
      </c>
      <c r="L28" s="17">
        <f t="shared" si="10"/>
        <v>4.616031884925665E-2</v>
      </c>
      <c r="M28" s="17">
        <f t="shared" si="10"/>
        <v>4.8951576783956376E-2</v>
      </c>
    </row>
    <row r="30" spans="2:13" x14ac:dyDescent="0.25">
      <c r="B30" t="s">
        <v>23</v>
      </c>
      <c r="C30" s="12">
        <f>IFERROR('Data Sheet'!B29,0)</f>
        <v>51.2</v>
      </c>
      <c r="D30" s="12">
        <f>IFERROR('Data Sheet'!C29,0)</f>
        <v>85.73</v>
      </c>
      <c r="E30" s="12">
        <f>IFERROR('Data Sheet'!D29,0)</f>
        <v>37.93</v>
      </c>
      <c r="F30" s="12">
        <f>IFERROR('Data Sheet'!E29,0)</f>
        <v>80.16</v>
      </c>
      <c r="G30" s="12">
        <f>IFERROR('Data Sheet'!F29,0)</f>
        <v>326.77</v>
      </c>
      <c r="H30" s="12">
        <f>IFERROR('Data Sheet'!G29,0)</f>
        <v>72.8</v>
      </c>
      <c r="I30" s="12">
        <f>IFERROR('Data Sheet'!H29,0)</f>
        <v>79.48</v>
      </c>
      <c r="J30" s="12">
        <f>IFERROR('Data Sheet'!I29,0)</f>
        <v>140.65</v>
      </c>
      <c r="K30" s="12">
        <f>IFERROR('Data Sheet'!J29,0)</f>
        <v>238.64</v>
      </c>
      <c r="L30" s="12">
        <f>IFERROR('Data Sheet'!K29,0)</f>
        <v>320.5</v>
      </c>
      <c r="M30" s="12">
        <f>IFERROR(SUM('Data Sheet'!H48:K48),0)</f>
        <v>329.5</v>
      </c>
    </row>
    <row r="31" spans="2:13" x14ac:dyDescent="0.25">
      <c r="B31" s="15" t="s">
        <v>26</v>
      </c>
      <c r="C31" s="17">
        <f>C30/C27</f>
        <v>-3.654532476802494</v>
      </c>
      <c r="D31" s="17">
        <f t="shared" ref="D31:M31" si="11">D30/D27</f>
        <v>0.89227726894254755</v>
      </c>
      <c r="E31" s="17">
        <f t="shared" si="11"/>
        <v>-0.92738386308069798</v>
      </c>
      <c r="F31" s="17">
        <f t="shared" si="11"/>
        <v>0.33177434708828213</v>
      </c>
      <c r="G31" s="17">
        <f t="shared" si="11"/>
        <v>0.37224747388446533</v>
      </c>
      <c r="H31" s="17">
        <f t="shared" si="11"/>
        <v>0.22499690938311315</v>
      </c>
      <c r="I31" s="17">
        <f t="shared" si="11"/>
        <v>0.30815756823821389</v>
      </c>
      <c r="J31" s="17">
        <f t="shared" si="11"/>
        <v>0.38750826537359484</v>
      </c>
      <c r="K31" s="17">
        <f t="shared" si="11"/>
        <v>0.32198175832478837</v>
      </c>
      <c r="L31" s="17">
        <f t="shared" si="11"/>
        <v>0.33308737177954889</v>
      </c>
      <c r="M31" s="17">
        <f t="shared" si="11"/>
        <v>0.30606463118979732</v>
      </c>
    </row>
    <row r="33" spans="2:13" x14ac:dyDescent="0.25">
      <c r="B33" t="s">
        <v>72</v>
      </c>
      <c r="C33" s="12">
        <f>IFERROR(C27-C30,0)</f>
        <v>-65.209999999999198</v>
      </c>
      <c r="D33" s="12">
        <f t="shared" ref="D33:M33" si="12">IFERROR(D27-D30,0)</f>
        <v>10.350000000000037</v>
      </c>
      <c r="E33" s="12">
        <f t="shared" si="12"/>
        <v>-78.829999999999416</v>
      </c>
      <c r="F33" s="12">
        <f t="shared" si="12"/>
        <v>161.45000000000047</v>
      </c>
      <c r="G33" s="12">
        <f t="shared" si="12"/>
        <v>551.05999999999949</v>
      </c>
      <c r="H33" s="12">
        <f t="shared" si="12"/>
        <v>250.75999999999959</v>
      </c>
      <c r="I33" s="12">
        <f t="shared" si="12"/>
        <v>178.4399999999996</v>
      </c>
      <c r="J33" s="12">
        <f t="shared" si="12"/>
        <v>222.31000000000003</v>
      </c>
      <c r="K33" s="12">
        <f t="shared" si="12"/>
        <v>502.51999999999953</v>
      </c>
      <c r="L33" s="12">
        <f t="shared" si="12"/>
        <v>641.71000000000083</v>
      </c>
      <c r="M33" s="12">
        <f t="shared" si="12"/>
        <v>747.06999999999971</v>
      </c>
    </row>
    <row r="34" spans="2:13" x14ac:dyDescent="0.25">
      <c r="B34" s="15" t="s">
        <v>73</v>
      </c>
      <c r="C34" s="17">
        <f t="shared" ref="C34:M34" si="13">C33/C6</f>
        <v>-6.8549094964831091E-3</v>
      </c>
      <c r="D34" s="17">
        <f t="shared" si="13"/>
        <v>1.0863575533338621E-3</v>
      </c>
      <c r="E34" s="17">
        <f t="shared" si="13"/>
        <v>-8.7583341943898458E-3</v>
      </c>
      <c r="F34" s="17">
        <f t="shared" si="13"/>
        <v>1.9241678823069572E-2</v>
      </c>
      <c r="G34" s="17">
        <f t="shared" si="13"/>
        <v>4.2732272302886828E-2</v>
      </c>
      <c r="H34" s="17">
        <f t="shared" si="13"/>
        <v>2.8171893940840777E-2</v>
      </c>
      <c r="I34" s="17">
        <f t="shared" si="13"/>
        <v>2.2446920655846539E-2</v>
      </c>
      <c r="J34" s="17">
        <f t="shared" si="13"/>
        <v>1.9959669454729597E-2</v>
      </c>
      <c r="K34" s="17">
        <f t="shared" si="13"/>
        <v>3.2309313520314804E-2</v>
      </c>
      <c r="L34" s="17">
        <f t="shared" si="13"/>
        <v>3.0784899563251783E-2</v>
      </c>
      <c r="M34" s="17">
        <f t="shared" si="13"/>
        <v>3.3969230489415719E-2</v>
      </c>
    </row>
    <row r="36" spans="2:13" x14ac:dyDescent="0.25">
      <c r="B36" t="s">
        <v>74</v>
      </c>
      <c r="C36">
        <f>IFERROR('Data Sheet'!B93,0)</f>
        <v>55.59</v>
      </c>
      <c r="D36">
        <f>IFERROR('Data Sheet'!C93,0)</f>
        <v>55.59</v>
      </c>
      <c r="E36">
        <f>IFERROR('Data Sheet'!D93,0)</f>
        <v>55.59</v>
      </c>
      <c r="F36">
        <f>IFERROR('Data Sheet'!E93,0)</f>
        <v>60.06</v>
      </c>
      <c r="G36">
        <f>IFERROR('Data Sheet'!F93,0)</f>
        <v>60.06</v>
      </c>
      <c r="H36">
        <f>IFERROR('Data Sheet'!G93,0)</f>
        <v>60.98</v>
      </c>
      <c r="I36">
        <f>IFERROR('Data Sheet'!H93,0)</f>
        <v>60.98</v>
      </c>
      <c r="J36">
        <f>IFERROR('Data Sheet'!I93,0)</f>
        <v>60.98</v>
      </c>
      <c r="K36">
        <f>IFERROR('Data Sheet'!J93,0)</f>
        <v>62.78</v>
      </c>
      <c r="L36">
        <f>IFERROR('Data Sheet'!K93,0)</f>
        <v>62.78</v>
      </c>
      <c r="M36">
        <f>L36</f>
        <v>62.78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-1.1730527073214463</v>
      </c>
      <c r="D38" s="18">
        <f t="shared" ref="D38:M38" si="14">IFERROR(D33/D36,0)</f>
        <v>0.18618456556934765</v>
      </c>
      <c r="E38" s="18">
        <f t="shared" si="14"/>
        <v>-1.4180608023025618</v>
      </c>
      <c r="F38" s="18">
        <f t="shared" si="14"/>
        <v>2.6881451881451959</v>
      </c>
      <c r="G38" s="18">
        <f t="shared" si="14"/>
        <v>9.1751581751581668</v>
      </c>
      <c r="H38" s="18">
        <f t="shared" si="14"/>
        <v>4.1121679239094719</v>
      </c>
      <c r="I38" s="18">
        <f t="shared" si="14"/>
        <v>2.9262053132174421</v>
      </c>
      <c r="J38" s="18">
        <f t="shared" si="14"/>
        <v>3.6456215152509026</v>
      </c>
      <c r="K38" s="18">
        <f t="shared" si="14"/>
        <v>8.0044600191143598</v>
      </c>
      <c r="L38" s="18">
        <f t="shared" si="14"/>
        <v>10.22156737814592</v>
      </c>
      <c r="M38" s="18">
        <f t="shared" si="14"/>
        <v>11.899808856323665</v>
      </c>
    </row>
    <row r="39" spans="2:13" x14ac:dyDescent="0.25">
      <c r="B39" s="15" t="s">
        <v>77</v>
      </c>
      <c r="C39" s="17"/>
      <c r="D39" s="17">
        <f>IFERROR(D38/C38-1,0)</f>
        <v>-1.1587179880386469</v>
      </c>
      <c r="E39" s="17">
        <f t="shared" ref="E39:M39" si="15">IFERROR(E38/D38-1,0)</f>
        <v>-8.6164251207728633</v>
      </c>
      <c r="F39" s="17">
        <f t="shared" si="15"/>
        <v>-2.8956487505897828</v>
      </c>
      <c r="G39" s="17">
        <f t="shared" si="15"/>
        <v>2.4131929389903868</v>
      </c>
      <c r="H39" s="17">
        <f t="shared" si="15"/>
        <v>-0.55181503736434667</v>
      </c>
      <c r="I39" s="17">
        <f t="shared" si="15"/>
        <v>-0.28840325410751355</v>
      </c>
      <c r="J39" s="17">
        <f t="shared" si="15"/>
        <v>0.24585294776956124</v>
      </c>
      <c r="K39" s="17">
        <f t="shared" si="15"/>
        <v>1.1956365973892025</v>
      </c>
      <c r="L39" s="17">
        <f t="shared" si="15"/>
        <v>0.27698400063679363</v>
      </c>
      <c r="M39" s="17">
        <f t="shared" si="15"/>
        <v>0.16418631469043432</v>
      </c>
    </row>
    <row r="41" spans="2:13" x14ac:dyDescent="0.25">
      <c r="B41" t="s">
        <v>75</v>
      </c>
      <c r="C41" s="12">
        <f>IFERROR('Data Sheet'!B31/HistoricalFS!C36,0)</f>
        <v>0.40007195538765961</v>
      </c>
      <c r="D41" s="12">
        <f>IFERROR('Data Sheet'!C31/HistoricalFS!D36,0)</f>
        <v>0.60010793308148946</v>
      </c>
      <c r="E41" s="12">
        <f>IFERROR('Data Sheet'!D31/HistoricalFS!E36,0)</f>
        <v>0.40007195538765961</v>
      </c>
      <c r="F41" s="12">
        <f>IFERROR('Data Sheet'!E31/HistoricalFS!F36,0)</f>
        <v>1</v>
      </c>
      <c r="G41" s="12">
        <f>IFERROR('Data Sheet'!F31/HistoricalFS!G36,0)</f>
        <v>1.5001665001665001</v>
      </c>
      <c r="H41" s="12">
        <f>IFERROR('Data Sheet'!G31/HistoricalFS!H36,0)</f>
        <v>0.20006559527714005</v>
      </c>
      <c r="I41" s="12">
        <f>IFERROR('Data Sheet'!H31/HistoricalFS!I36,0)</f>
        <v>0.80009839291571005</v>
      </c>
      <c r="J41" s="12">
        <f>IFERROR('Data Sheet'!I31/HistoricalFS!J36,0)</f>
        <v>2.0001639881928504</v>
      </c>
      <c r="K41" s="12">
        <f>IFERROR('Data Sheet'!J31/HistoricalFS!K36,0)</f>
        <v>2.2002230009557184</v>
      </c>
      <c r="L41" s="12">
        <f>IFERROR('Data Sheet'!K31/HistoricalFS!L36,0)</f>
        <v>2.2002230009557184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-0.34105198589173857</v>
      </c>
      <c r="D42" s="17">
        <f t="shared" ref="D42:M42" si="16">IFERROR(D41/D38,0)</f>
        <v>3.2231884057970901</v>
      </c>
      <c r="E42" s="17">
        <f t="shared" si="16"/>
        <v>-0.28212609412660361</v>
      </c>
      <c r="F42" s="17">
        <f t="shared" si="16"/>
        <v>0.37200371632084128</v>
      </c>
      <c r="G42" s="17">
        <f t="shared" si="16"/>
        <v>0.16350306681668073</v>
      </c>
      <c r="H42" s="17">
        <f t="shared" si="16"/>
        <v>4.865209762322547E-2</v>
      </c>
      <c r="I42" s="17">
        <f t="shared" si="16"/>
        <v>0.27342524097735993</v>
      </c>
      <c r="J42" s="17">
        <f t="shared" si="16"/>
        <v>0.54864828392784848</v>
      </c>
      <c r="K42" s="17">
        <f t="shared" si="16"/>
        <v>0.2748746318554488</v>
      </c>
      <c r="L42" s="17">
        <f t="shared" si="16"/>
        <v>0.21525299590157518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</v>
      </c>
      <c r="D44" s="13">
        <f t="shared" ref="D44:M44" si="17">IFERROR(IF(D38&gt;D41,1-D42,0),0)</f>
        <v>0</v>
      </c>
      <c r="E44" s="13">
        <f t="shared" si="17"/>
        <v>0</v>
      </c>
      <c r="F44" s="13">
        <f t="shared" si="17"/>
        <v>0.62799628367915872</v>
      </c>
      <c r="G44" s="13">
        <f t="shared" si="17"/>
        <v>0.8364969331833193</v>
      </c>
      <c r="H44" s="13">
        <f t="shared" si="17"/>
        <v>0.95134790237677458</v>
      </c>
      <c r="I44" s="13">
        <f t="shared" si="17"/>
        <v>0.72657475902264013</v>
      </c>
      <c r="J44" s="13">
        <f t="shared" si="17"/>
        <v>0.45135171607215152</v>
      </c>
      <c r="K44" s="13">
        <f t="shared" si="17"/>
        <v>0.7251253681445512</v>
      </c>
      <c r="L44" s="13">
        <f t="shared" si="17"/>
        <v>0.78474700409842479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111.19</v>
      </c>
      <c r="D52" s="12">
        <f>IFERROR('Data Sheet'!C57,0)</f>
        <v>111.19</v>
      </c>
      <c r="E52" s="12">
        <f>IFERROR('Data Sheet'!D57,0)</f>
        <v>111.19</v>
      </c>
      <c r="F52" s="12">
        <f>IFERROR('Data Sheet'!E57,0)</f>
        <v>120.13</v>
      </c>
      <c r="G52" s="12">
        <f>IFERROR('Data Sheet'!F57,0)</f>
        <v>120.13</v>
      </c>
      <c r="H52" s="12">
        <f>IFERROR('Data Sheet'!G57,0)</f>
        <v>121.97</v>
      </c>
      <c r="I52" s="12">
        <f>IFERROR('Data Sheet'!H57,0)</f>
        <v>121.97</v>
      </c>
      <c r="J52" s="12">
        <f>IFERROR('Data Sheet'!I57,0)</f>
        <v>121.97</v>
      </c>
      <c r="K52" s="12">
        <f>IFERROR('Data Sheet'!J57,0)</f>
        <v>125.57</v>
      </c>
      <c r="L52" s="12">
        <f>IFERROR('Data Sheet'!K57,0)</f>
        <v>125.57</v>
      </c>
    </row>
    <row r="53" spans="1:13" x14ac:dyDescent="0.25">
      <c r="B53" t="s">
        <v>33</v>
      </c>
      <c r="C53" s="12">
        <f>IFERROR('Data Sheet'!B58,0)</f>
        <v>3290.68</v>
      </c>
      <c r="D53" s="12">
        <f>IFERROR('Data Sheet'!C58,0)</f>
        <v>3280.83</v>
      </c>
      <c r="E53" s="12">
        <f>IFERROR('Data Sheet'!D58,0)</f>
        <v>3336.48</v>
      </c>
      <c r="F53" s="12">
        <f>IFERROR('Data Sheet'!E58,0)</f>
        <v>3962.39</v>
      </c>
      <c r="G53" s="12">
        <f>IFERROR('Data Sheet'!F58,0)</f>
        <v>4447.79</v>
      </c>
      <c r="H53" s="12">
        <f>IFERROR('Data Sheet'!G58,0)</f>
        <v>4784.4799999999996</v>
      </c>
      <c r="I53" s="12">
        <f>IFERROR('Data Sheet'!H58,0)</f>
        <v>5022.78</v>
      </c>
      <c r="J53" s="12">
        <f>IFERROR('Data Sheet'!I58,0)</f>
        <v>5454.22</v>
      </c>
      <c r="K53" s="12">
        <f>IFERROR('Data Sheet'!J58,0)</f>
        <v>6041.26</v>
      </c>
      <c r="L53" s="12">
        <f>IFERROR('Data Sheet'!K58,0)</f>
        <v>6514.13</v>
      </c>
    </row>
    <row r="54" spans="1:13" x14ac:dyDescent="0.25">
      <c r="B54" t="s">
        <v>34</v>
      </c>
      <c r="C54" s="12">
        <f>IFERROR('Data Sheet'!B59,0)</f>
        <v>3389.67</v>
      </c>
      <c r="D54" s="12">
        <f>IFERROR('Data Sheet'!C59,0)</f>
        <v>3208</v>
      </c>
      <c r="E54" s="12">
        <f>IFERROR('Data Sheet'!D59,0)</f>
        <v>2571.9299999999998</v>
      </c>
      <c r="F54" s="12">
        <f>IFERROR('Data Sheet'!E59,0)</f>
        <v>2060.89</v>
      </c>
      <c r="G54" s="12">
        <f>IFERROR('Data Sheet'!F59,0)</f>
        <v>2691.4</v>
      </c>
      <c r="H54" s="12">
        <f>IFERROR('Data Sheet'!G59,0)</f>
        <v>2181.4699999999998</v>
      </c>
      <c r="I54" s="12">
        <f>IFERROR('Data Sheet'!H59,0)</f>
        <v>2062.04</v>
      </c>
      <c r="J54" s="12">
        <f>IFERROR('Data Sheet'!I59,0)</f>
        <v>1302.43</v>
      </c>
      <c r="K54" s="12">
        <f>IFERROR('Data Sheet'!J59,0)</f>
        <v>973.82</v>
      </c>
      <c r="L54" s="12">
        <f>IFERROR('Data Sheet'!K59,0)</f>
        <v>980.02</v>
      </c>
    </row>
    <row r="55" spans="1:13" x14ac:dyDescent="0.25">
      <c r="B55" t="s">
        <v>35</v>
      </c>
      <c r="C55" s="12">
        <f>IFERROR('Data Sheet'!B60,0)</f>
        <v>5753.03</v>
      </c>
      <c r="D55" s="12">
        <f>IFERROR('Data Sheet'!C60,0)</f>
        <v>5720.99</v>
      </c>
      <c r="E55" s="12">
        <f>IFERROR('Data Sheet'!D60,0)</f>
        <v>5089.88</v>
      </c>
      <c r="F55" s="12">
        <f>IFERROR('Data Sheet'!E60,0)</f>
        <v>6264.96</v>
      </c>
      <c r="G55" s="12">
        <f>IFERROR('Data Sheet'!F60,0)</f>
        <v>7401.05</v>
      </c>
      <c r="H55" s="12">
        <f>IFERROR('Data Sheet'!G60,0)</f>
        <v>6723.97</v>
      </c>
      <c r="I55" s="12">
        <f>IFERROR('Data Sheet'!H60,0)</f>
        <v>6333.09</v>
      </c>
      <c r="J55" s="12">
        <f>IFERROR('Data Sheet'!I60,0)</f>
        <v>7579.37</v>
      </c>
      <c r="K55" s="12">
        <f>IFERROR('Data Sheet'!J60,0)</f>
        <v>9409.4699999999993</v>
      </c>
      <c r="L55" s="12">
        <f>IFERROR('Data Sheet'!K60,0)</f>
        <v>10475.24</v>
      </c>
    </row>
    <row r="56" spans="1:13" x14ac:dyDescent="0.25">
      <c r="B56" s="11" t="s">
        <v>81</v>
      </c>
      <c r="C56" s="24">
        <f>IFERROR('Data Sheet'!B61,0)</f>
        <v>12544.57</v>
      </c>
      <c r="D56" s="24">
        <f>IFERROR('Data Sheet'!C61,0)</f>
        <v>12321.01</v>
      </c>
      <c r="E56" s="24">
        <f>IFERROR('Data Sheet'!D61,0)</f>
        <v>11109.48</v>
      </c>
      <c r="F56" s="24">
        <f>IFERROR('Data Sheet'!E61,0)</f>
        <v>12408.37</v>
      </c>
      <c r="G56" s="24">
        <f>IFERROR('Data Sheet'!F61,0)</f>
        <v>14660.37</v>
      </c>
      <c r="H56" s="24">
        <f>IFERROR('Data Sheet'!G61,0)</f>
        <v>13811.89</v>
      </c>
      <c r="I56" s="24">
        <f>IFERROR('Data Sheet'!H61,0)</f>
        <v>13539.88</v>
      </c>
      <c r="J56" s="24">
        <f>IFERROR('Data Sheet'!I61,0)</f>
        <v>14457.99</v>
      </c>
      <c r="K56" s="24">
        <f>IFERROR('Data Sheet'!J61,0)</f>
        <v>16550.12</v>
      </c>
      <c r="L56" s="24">
        <f>IFERROR('Data Sheet'!K61,0)</f>
        <v>18094.96</v>
      </c>
      <c r="M56" s="11"/>
    </row>
    <row r="58" spans="1:13" x14ac:dyDescent="0.25">
      <c r="B58" t="s">
        <v>82</v>
      </c>
      <c r="C58" s="12">
        <f>IFERROR('Data Sheet'!B62,0)</f>
        <v>2445.79</v>
      </c>
      <c r="D58" s="12">
        <f>IFERROR('Data Sheet'!C62,0)</f>
        <v>1674.2</v>
      </c>
      <c r="E58" s="12">
        <f>IFERROR('Data Sheet'!D62,0)</f>
        <v>1098.58</v>
      </c>
      <c r="F58" s="12">
        <f>IFERROR('Data Sheet'!E62,0)</f>
        <v>1158.04</v>
      </c>
      <c r="G58" s="12">
        <f>IFERROR('Data Sheet'!F62,0)</f>
        <v>1550.74</v>
      </c>
      <c r="H58" s="12">
        <f>IFERROR('Data Sheet'!G62,0)</f>
        <v>1413.29</v>
      </c>
      <c r="I58" s="12">
        <f>IFERROR('Data Sheet'!H62,0)</f>
        <v>1416.99</v>
      </c>
      <c r="J58" s="12">
        <f>IFERROR('Data Sheet'!I62,0)</f>
        <v>1442.55</v>
      </c>
      <c r="K58" s="12">
        <f>IFERROR('Data Sheet'!J62,0)</f>
        <v>1502.87</v>
      </c>
      <c r="L58" s="12">
        <f>IFERROR('Data Sheet'!K62,0)</f>
        <v>1565.3</v>
      </c>
    </row>
    <row r="59" spans="1:13" x14ac:dyDescent="0.25">
      <c r="B59" t="s">
        <v>38</v>
      </c>
      <c r="C59" s="12">
        <f>IFERROR('Data Sheet'!B63,0)</f>
        <v>10.61</v>
      </c>
      <c r="D59" s="12">
        <f>IFERROR('Data Sheet'!C63,0)</f>
        <v>8.1199999999999992</v>
      </c>
      <c r="E59" s="12">
        <f>IFERROR('Data Sheet'!D63,0)</f>
        <v>1.46</v>
      </c>
      <c r="F59" s="12">
        <f>IFERROR('Data Sheet'!E63,0)</f>
        <v>23.26</v>
      </c>
      <c r="G59" s="12">
        <f>IFERROR('Data Sheet'!F63,0)</f>
        <v>13.49</v>
      </c>
      <c r="H59" s="12">
        <f>IFERROR('Data Sheet'!G63,0)</f>
        <v>15.16</v>
      </c>
      <c r="I59" s="12">
        <f>IFERROR('Data Sheet'!H63,0)</f>
        <v>21.86</v>
      </c>
      <c r="J59" s="12">
        <f>IFERROR('Data Sheet'!I63,0)</f>
        <v>7.35</v>
      </c>
      <c r="K59" s="12">
        <f>IFERROR('Data Sheet'!J63,0)</f>
        <v>21.98</v>
      </c>
      <c r="L59" s="12">
        <f>IFERROR('Data Sheet'!K63,0)</f>
        <v>40.78</v>
      </c>
    </row>
    <row r="60" spans="1:13" x14ac:dyDescent="0.25">
      <c r="B60" t="s">
        <v>39</v>
      </c>
      <c r="C60" s="12">
        <f>IFERROR('Data Sheet'!B64,0)</f>
        <v>1132.96</v>
      </c>
      <c r="D60" s="12">
        <f>IFERROR('Data Sheet'!C64,0)</f>
        <v>1128.3499999999999</v>
      </c>
      <c r="E60" s="12">
        <f>IFERROR('Data Sheet'!D64,0)</f>
        <v>728.75</v>
      </c>
      <c r="F60" s="12">
        <f>IFERROR('Data Sheet'!E64,0)</f>
        <v>619.46</v>
      </c>
      <c r="G60" s="12">
        <f>IFERROR('Data Sheet'!F64,0)</f>
        <v>475.49</v>
      </c>
      <c r="H60" s="12">
        <f>IFERROR('Data Sheet'!G64,0)</f>
        <v>448.24</v>
      </c>
      <c r="I60" s="12">
        <f>IFERROR('Data Sheet'!H64,0)</f>
        <v>439.63</v>
      </c>
      <c r="J60" s="12">
        <f>IFERROR('Data Sheet'!I64,0)</f>
        <v>345.82</v>
      </c>
      <c r="K60" s="12">
        <f>IFERROR('Data Sheet'!J64,0)</f>
        <v>352.04</v>
      </c>
      <c r="L60" s="12">
        <f>IFERROR('Data Sheet'!K64,0)</f>
        <v>154.9</v>
      </c>
    </row>
    <row r="61" spans="1:13" x14ac:dyDescent="0.25">
      <c r="B61" t="s">
        <v>40</v>
      </c>
      <c r="C61" s="12">
        <f>IFERROR('Data Sheet'!B65-SUM('Data Sheet'!B67:B69),0)</f>
        <v>4183.25</v>
      </c>
      <c r="D61" s="12">
        <f>IFERROR('Data Sheet'!C65-SUM('Data Sheet'!C67:C69),0)</f>
        <v>2622.71</v>
      </c>
      <c r="E61" s="12">
        <f>IFERROR('Data Sheet'!D65-SUM('Data Sheet'!D67:D69),0)</f>
        <v>2267.67</v>
      </c>
      <c r="F61" s="12">
        <f>IFERROR('Data Sheet'!E65-SUM('Data Sheet'!E67:E69),0)</f>
        <v>2690.0400000000018</v>
      </c>
      <c r="G61" s="12">
        <f>IFERROR('Data Sheet'!F65-SUM('Data Sheet'!F67:F69),0)</f>
        <v>7404.8499999999995</v>
      </c>
      <c r="H61" s="12">
        <f>IFERROR('Data Sheet'!G65-SUM('Data Sheet'!G67:G69),0)</f>
        <v>7426.8900000000012</v>
      </c>
      <c r="I61" s="12">
        <f>IFERROR('Data Sheet'!H65-SUM('Data Sheet'!H67:H69),0)</f>
        <v>7194.99</v>
      </c>
      <c r="J61" s="12">
        <f>IFERROR('Data Sheet'!I65-SUM('Data Sheet'!I67:I69),0)</f>
        <v>8363.2400000000016</v>
      </c>
      <c r="K61" s="12">
        <f>IFERROR('Data Sheet'!J65-SUM('Data Sheet'!J67:J69),0)</f>
        <v>9414.42</v>
      </c>
      <c r="L61" s="12">
        <f>IFERROR('Data Sheet'!K65-SUM('Data Sheet'!K67:K69),0)</f>
        <v>10303.459999999999</v>
      </c>
    </row>
    <row r="62" spans="1:13" x14ac:dyDescent="0.25">
      <c r="B62" s="11" t="s">
        <v>83</v>
      </c>
      <c r="C62" s="24">
        <f>SUM(C58:C61)</f>
        <v>7772.6100000000006</v>
      </c>
      <c r="D62" s="24">
        <f t="shared" ref="D62:L62" si="18">SUM(D58:D61)</f>
        <v>5433.38</v>
      </c>
      <c r="E62" s="24">
        <f t="shared" si="18"/>
        <v>4096.46</v>
      </c>
      <c r="F62" s="24">
        <f t="shared" si="18"/>
        <v>4490.800000000002</v>
      </c>
      <c r="G62" s="24">
        <f t="shared" si="18"/>
        <v>9444.57</v>
      </c>
      <c r="H62" s="24">
        <f t="shared" si="18"/>
        <v>9303.5800000000017</v>
      </c>
      <c r="I62" s="24">
        <f t="shared" si="18"/>
        <v>9073.4699999999993</v>
      </c>
      <c r="J62" s="24">
        <f t="shared" si="18"/>
        <v>10158.960000000001</v>
      </c>
      <c r="K62" s="24">
        <f t="shared" si="18"/>
        <v>11291.31</v>
      </c>
      <c r="L62" s="24">
        <f t="shared" si="18"/>
        <v>12064.439999999999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1657.36</v>
      </c>
      <c r="D64" s="12">
        <f>IFERROR('Data Sheet'!C67,0)</f>
        <v>3678.05</v>
      </c>
      <c r="E64" s="12">
        <f>IFERROR('Data Sheet'!D67,0)</f>
        <v>4117.92</v>
      </c>
      <c r="F64" s="12">
        <f>IFERROR('Data Sheet'!E67,0)</f>
        <v>4969.4399999999996</v>
      </c>
      <c r="G64" s="12">
        <f>IFERROR('Data Sheet'!F67,0)</f>
        <v>3428.68</v>
      </c>
      <c r="H64" s="12">
        <f>IFERROR('Data Sheet'!G67,0)</f>
        <v>2728.28</v>
      </c>
      <c r="I64" s="12">
        <f>IFERROR('Data Sheet'!H67,0)</f>
        <v>2739.62</v>
      </c>
      <c r="J64" s="12">
        <f>IFERROR('Data Sheet'!I67,0)</f>
        <v>2545.16</v>
      </c>
      <c r="K64" s="12">
        <f>IFERROR('Data Sheet'!J67,0)</f>
        <v>3175.51</v>
      </c>
      <c r="L64" s="12">
        <f>IFERROR('Data Sheet'!K67,0)</f>
        <v>3117.21</v>
      </c>
    </row>
    <row r="65" spans="1:13" x14ac:dyDescent="0.25">
      <c r="B65" t="s">
        <v>42</v>
      </c>
      <c r="C65" s="12">
        <f>IFERROR('Data Sheet'!B68,0)</f>
        <v>2756.99</v>
      </c>
      <c r="D65" s="12">
        <f>IFERROR('Data Sheet'!C68,0)</f>
        <v>2862.71</v>
      </c>
      <c r="E65" s="12">
        <f>IFERROR('Data Sheet'!D68,0)</f>
        <v>2718.1</v>
      </c>
      <c r="F65" s="12">
        <f>IFERROR('Data Sheet'!E68,0)</f>
        <v>2830.44</v>
      </c>
      <c r="G65" s="12">
        <f>IFERROR('Data Sheet'!F68,0)</f>
        <v>1425.41</v>
      </c>
      <c r="H65" s="12">
        <f>IFERROR('Data Sheet'!G68,0)</f>
        <v>1391.29</v>
      </c>
      <c r="I65" s="12">
        <f>IFERROR('Data Sheet'!H68,0)</f>
        <v>1222.21</v>
      </c>
      <c r="J65" s="12">
        <f>IFERROR('Data Sheet'!I68,0)</f>
        <v>1153.3399999999999</v>
      </c>
      <c r="K65" s="12">
        <f>IFERROR('Data Sheet'!J68,0)</f>
        <v>1374.03</v>
      </c>
      <c r="L65" s="12">
        <f>IFERROR('Data Sheet'!K68,0)</f>
        <v>1763.76</v>
      </c>
    </row>
    <row r="66" spans="1:13" x14ac:dyDescent="0.25">
      <c r="B66" t="s">
        <v>43</v>
      </c>
      <c r="C66" s="12">
        <f>IFERROR('Data Sheet'!B69,0)</f>
        <v>357.61</v>
      </c>
      <c r="D66" s="12">
        <f>IFERROR('Data Sheet'!C69,0)</f>
        <v>346.87</v>
      </c>
      <c r="E66" s="12">
        <f>IFERROR('Data Sheet'!D69,0)</f>
        <v>177</v>
      </c>
      <c r="F66" s="12">
        <f>IFERROR('Data Sheet'!E69,0)</f>
        <v>117.69</v>
      </c>
      <c r="G66" s="12">
        <f>IFERROR('Data Sheet'!F69,0)</f>
        <v>361.71</v>
      </c>
      <c r="H66" s="12">
        <f>IFERROR('Data Sheet'!G69,0)</f>
        <v>388.74</v>
      </c>
      <c r="I66" s="12">
        <f>IFERROR('Data Sheet'!H69,0)</f>
        <v>504.58</v>
      </c>
      <c r="J66" s="12">
        <f>IFERROR('Data Sheet'!I69,0)</f>
        <v>600.53</v>
      </c>
      <c r="K66" s="12">
        <f>IFERROR('Data Sheet'!J69,0)</f>
        <v>709.27</v>
      </c>
      <c r="L66" s="12">
        <f>IFERROR('Data Sheet'!K69,0)</f>
        <v>1149.55</v>
      </c>
    </row>
    <row r="67" spans="1:13" x14ac:dyDescent="0.25">
      <c r="B67" s="11" t="s">
        <v>84</v>
      </c>
      <c r="C67" s="24">
        <f>IFERROR(SUM(C64:C66),0)</f>
        <v>4771.9599999999991</v>
      </c>
      <c r="D67" s="24">
        <f t="shared" ref="D67:L67" si="19">IFERROR(SUM(D64:D66),0)</f>
        <v>6887.63</v>
      </c>
      <c r="E67" s="24">
        <f t="shared" si="19"/>
        <v>7013.02</v>
      </c>
      <c r="F67" s="24">
        <f t="shared" si="19"/>
        <v>7917.5699999999988</v>
      </c>
      <c r="G67" s="24">
        <f t="shared" si="19"/>
        <v>5215.8</v>
      </c>
      <c r="H67" s="24">
        <f t="shared" si="19"/>
        <v>4508.3099999999995</v>
      </c>
      <c r="I67" s="24">
        <f t="shared" si="19"/>
        <v>4466.41</v>
      </c>
      <c r="J67" s="24">
        <f t="shared" si="19"/>
        <v>4299.03</v>
      </c>
      <c r="K67" s="24">
        <f t="shared" si="19"/>
        <v>5258.8099999999995</v>
      </c>
      <c r="L67" s="24">
        <f t="shared" si="19"/>
        <v>6030.52</v>
      </c>
    </row>
    <row r="69" spans="1:13" x14ac:dyDescent="0.25">
      <c r="B69" s="11" t="s">
        <v>85</v>
      </c>
      <c r="C69" s="24">
        <f>IFERROR(C67+C62,0)</f>
        <v>12544.57</v>
      </c>
      <c r="D69" s="24">
        <f t="shared" ref="D69:L69" si="20">IFERROR(D67+D62,0)</f>
        <v>12321.01</v>
      </c>
      <c r="E69" s="24">
        <f t="shared" si="20"/>
        <v>11109.48</v>
      </c>
      <c r="F69" s="24">
        <f t="shared" si="20"/>
        <v>12408.37</v>
      </c>
      <c r="G69" s="24">
        <f t="shared" si="20"/>
        <v>14660.369999999999</v>
      </c>
      <c r="H69" s="24">
        <f t="shared" si="20"/>
        <v>13811.890000000001</v>
      </c>
      <c r="I69" s="24">
        <f t="shared" si="20"/>
        <v>13539.88</v>
      </c>
      <c r="J69" s="24">
        <f t="shared" si="20"/>
        <v>14457.990000000002</v>
      </c>
      <c r="K69" s="24">
        <f t="shared" si="20"/>
        <v>16550.12</v>
      </c>
      <c r="L69" s="24">
        <f t="shared" si="20"/>
        <v>18094.96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866.91</v>
      </c>
      <c r="D75" s="12">
        <f>'Data Sheet'!C82</f>
        <v>395.46</v>
      </c>
      <c r="E75" s="12">
        <f>'Data Sheet'!D82</f>
        <v>313.57</v>
      </c>
      <c r="F75" s="12">
        <f>'Data Sheet'!E82</f>
        <v>585.80999999999995</v>
      </c>
      <c r="G75" s="12">
        <f>'Data Sheet'!F82</f>
        <v>673.13</v>
      </c>
      <c r="H75" s="12">
        <f>'Data Sheet'!G82</f>
        <v>931.39</v>
      </c>
      <c r="I75" s="12">
        <f>'Data Sheet'!H82</f>
        <v>841.84</v>
      </c>
      <c r="J75" s="12">
        <f>'Data Sheet'!I82</f>
        <v>1415.55</v>
      </c>
      <c r="K75" s="12">
        <f>'Data Sheet'!J82</f>
        <v>1100.1099999999999</v>
      </c>
      <c r="L75" s="12">
        <f>'Data Sheet'!K82</f>
        <v>1359.45</v>
      </c>
    </row>
    <row r="77" spans="1:13" x14ac:dyDescent="0.25">
      <c r="B77" t="s">
        <v>89</v>
      </c>
      <c r="C77" s="12">
        <f>'Data Sheet'!B83</f>
        <v>-95.25</v>
      </c>
      <c r="D77" s="12">
        <f>'Data Sheet'!C83</f>
        <v>192.51</v>
      </c>
      <c r="E77" s="12">
        <f>'Data Sheet'!D83</f>
        <v>375.57</v>
      </c>
      <c r="F77" s="12">
        <f>'Data Sheet'!E83</f>
        <v>-188.33</v>
      </c>
      <c r="G77" s="12">
        <f>'Data Sheet'!F83</f>
        <v>-618.91</v>
      </c>
      <c r="H77" s="12">
        <f>'Data Sheet'!G83</f>
        <v>10.55</v>
      </c>
      <c r="I77" s="12">
        <f>'Data Sheet'!H83</f>
        <v>-206.56</v>
      </c>
      <c r="J77" s="12">
        <f>'Data Sheet'!I83</f>
        <v>-66.040000000000006</v>
      </c>
      <c r="K77" s="12">
        <f>'Data Sheet'!J83</f>
        <v>-191.56</v>
      </c>
      <c r="L77" s="12">
        <f>'Data Sheet'!K83</f>
        <v>-318.69</v>
      </c>
    </row>
    <row r="79" spans="1:13" x14ac:dyDescent="0.25">
      <c r="B79" t="s">
        <v>90</v>
      </c>
      <c r="C79" s="12">
        <f>'Data Sheet'!B84</f>
        <v>-642.54</v>
      </c>
      <c r="D79" s="12">
        <f>'Data Sheet'!C84</f>
        <v>-551.13</v>
      </c>
      <c r="E79" s="12">
        <f>'Data Sheet'!D84</f>
        <v>-817.83</v>
      </c>
      <c r="F79" s="12">
        <f>'Data Sheet'!E84</f>
        <v>-453.45</v>
      </c>
      <c r="G79" s="12">
        <f>'Data Sheet'!F84</f>
        <v>89.15</v>
      </c>
      <c r="H79" s="12">
        <f>'Data Sheet'!G84</f>
        <v>-1046.93</v>
      </c>
      <c r="I79" s="12">
        <f>'Data Sheet'!H84</f>
        <v>-558.08000000000004</v>
      </c>
      <c r="J79" s="12">
        <f>'Data Sheet'!I84</f>
        <v>-1274.6099999999999</v>
      </c>
      <c r="K79" s="12">
        <f>'Data Sheet'!J84</f>
        <v>-892.7</v>
      </c>
      <c r="L79" s="12">
        <f>'Data Sheet'!K84</f>
        <v>-771.22</v>
      </c>
    </row>
    <row r="81" spans="2:12" x14ac:dyDescent="0.25">
      <c r="B81" s="11" t="s">
        <v>51</v>
      </c>
      <c r="C81" s="24">
        <f t="shared" ref="C81:L81" si="22">IFERROR(C75+C77+C79,0)</f>
        <v>129.12</v>
      </c>
      <c r="D81" s="24">
        <f t="shared" si="22"/>
        <v>36.840000000000032</v>
      </c>
      <c r="E81" s="24">
        <f t="shared" si="22"/>
        <v>-128.69000000000005</v>
      </c>
      <c r="F81" s="24">
        <f t="shared" si="22"/>
        <v>-55.970000000000084</v>
      </c>
      <c r="G81" s="24">
        <f t="shared" si="22"/>
        <v>143.37000000000003</v>
      </c>
      <c r="H81" s="24">
        <f t="shared" si="22"/>
        <v>-104.99000000000012</v>
      </c>
      <c r="I81" s="24">
        <f t="shared" si="22"/>
        <v>77.199999999999932</v>
      </c>
      <c r="J81" s="24">
        <f t="shared" si="22"/>
        <v>74.900000000000091</v>
      </c>
      <c r="K81" s="24">
        <f t="shared" si="22"/>
        <v>15.849999999999909</v>
      </c>
      <c r="L81" s="24">
        <f t="shared" si="22"/>
        <v>269.53999999999996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B2" sqref="B2:O2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112" t="str">
        <f>"Ratio Analysis of - "&amp;'Data Sheet'!B1</f>
        <v>Ratio Analysis of - NCC LTD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2:15" x14ac:dyDescent="0.25">
      <c r="B3" s="52" t="s">
        <v>55</v>
      </c>
      <c r="C3" s="53">
        <f>'Data Sheet'!B16</f>
        <v>42094</v>
      </c>
      <c r="D3" s="53">
        <f>'Data Sheet'!C16</f>
        <v>42460</v>
      </c>
      <c r="E3" s="53">
        <f>'Data Sheet'!D16</f>
        <v>42825</v>
      </c>
      <c r="F3" s="53">
        <f>'Data Sheet'!E16</f>
        <v>43190</v>
      </c>
      <c r="G3" s="53">
        <f>'Data Sheet'!F16</f>
        <v>43555</v>
      </c>
      <c r="H3" s="53">
        <f>'Data Sheet'!G16</f>
        <v>43921</v>
      </c>
      <c r="I3" s="53">
        <f>'Data Sheet'!H16</f>
        <v>44286</v>
      </c>
      <c r="J3" s="53">
        <f>'Data Sheet'!I16</f>
        <v>44651</v>
      </c>
      <c r="K3" s="53">
        <f>'Data Sheet'!J16</f>
        <v>45016</v>
      </c>
      <c r="L3" s="53">
        <f>'Data Sheet'!K16</f>
        <v>45382</v>
      </c>
      <c r="M3" s="54" t="s">
        <v>121</v>
      </c>
      <c r="N3" s="55" t="s">
        <v>122</v>
      </c>
      <c r="O3" s="56" t="s">
        <v>123</v>
      </c>
    </row>
    <row r="5" spans="2:15" x14ac:dyDescent="0.25">
      <c r="B5" s="28" t="s">
        <v>95</v>
      </c>
      <c r="C5" s="28"/>
      <c r="D5" s="29">
        <f>IFERROR(HistoricalFS!D7,0)</f>
        <v>1.5095307524843893E-3</v>
      </c>
      <c r="E5" s="29">
        <f>IFERROR(HistoricalFS!E7,0)</f>
        <v>-5.5281429583562969E-2</v>
      </c>
      <c r="F5" s="29">
        <f>IFERROR(HistoricalFS!F7,0)</f>
        <v>-6.7765708171815819E-2</v>
      </c>
      <c r="G5" s="29">
        <f>IFERROR(HistoricalFS!G7,0)</f>
        <v>0.53690779249258691</v>
      </c>
      <c r="H5" s="29">
        <f>IFERROR(HistoricalFS!H7,0)</f>
        <v>-0.30976128365866296</v>
      </c>
      <c r="I5" s="29">
        <f>IFERROR(HistoricalFS!I7,0)</f>
        <v>-0.10691411257298278</v>
      </c>
      <c r="J5" s="29">
        <f>IFERROR(HistoricalFS!J7,0)</f>
        <v>0.40110347673163571</v>
      </c>
      <c r="K5" s="29">
        <f>IFERROR(HistoricalFS!K7,0)</f>
        <v>0.39643256036114338</v>
      </c>
      <c r="L5" s="29">
        <f>IFERROR(HistoricalFS!L7,0)</f>
        <v>0.34021799721090096</v>
      </c>
      <c r="M5" s="40"/>
      <c r="N5" s="29">
        <f>IFERROR(AVERAGE(D5:L5),0)</f>
        <v>0.12627209150685856</v>
      </c>
      <c r="O5" s="29">
        <f>IFERROR(MEDIAN(C5:L5),0)</f>
        <v>1.5095307524843893E-3</v>
      </c>
    </row>
    <row r="6" spans="2:15" x14ac:dyDescent="0.25">
      <c r="B6" t="s">
        <v>101</v>
      </c>
      <c r="D6" s="30">
        <f>IFERROR(HistoricalFS!D18/HistoricalFS!C18-1,0)</f>
        <v>-1.2793838151446191E-2</v>
      </c>
      <c r="E6" s="30">
        <f>IFERROR(HistoricalFS!E18/HistoricalFS!D18-1,0)</f>
        <v>-0.31605718859875709</v>
      </c>
      <c r="F6" s="30">
        <f>IFERROR(HistoricalFS!F18/HistoricalFS!E18-1,0)</f>
        <v>0.29287841301352535</v>
      </c>
      <c r="G6" s="30">
        <f>IFERROR(HistoricalFS!G18/HistoricalFS!F18-1,0)</f>
        <v>0.82462070862171566</v>
      </c>
      <c r="H6" s="30">
        <f>IFERROR(HistoricalFS!H18/HistoricalFS!G18-1,0)</f>
        <v>-0.32385653547362003</v>
      </c>
      <c r="I6" s="30">
        <f>IFERROR(HistoricalFS!I18/HistoricalFS!H18-1,0)</f>
        <v>-0.1463362529374066</v>
      </c>
      <c r="J6" s="30">
        <f>IFERROR(HistoricalFS!J18/HistoricalFS!I18-1,0)</f>
        <v>0.11825956391173809</v>
      </c>
      <c r="K6" s="30">
        <f>IFERROR(HistoricalFS!K18/HistoricalFS!J18-1,0)</f>
        <v>0.41956858051898727</v>
      </c>
      <c r="L6" s="30">
        <f>IFERROR(HistoricalFS!L18/HistoricalFS!K18-1,0)</f>
        <v>0.21240035915256539</v>
      </c>
      <c r="M6" s="41"/>
      <c r="N6" s="30">
        <f t="shared" ref="N6:N9" si="0">IFERROR(AVERAGE(D6:L6),0)</f>
        <v>0.11874264556192242</v>
      </c>
      <c r="O6" s="30">
        <f t="shared" ref="O6:O9" si="1">IFERROR(MEDIAN(C6:L6),0)</f>
        <v>0.11825956391173809</v>
      </c>
    </row>
    <row r="7" spans="2:15" x14ac:dyDescent="0.25">
      <c r="B7" t="s">
        <v>96</v>
      </c>
      <c r="D7" s="30">
        <f>IFERROR(HistoricalFS!D27/HistoricalFS!C27-1,0)</f>
        <v>-7.8579586009996829</v>
      </c>
      <c r="E7" s="30">
        <f>IFERROR(HistoricalFS!E27/HistoricalFS!D27-1,0)</f>
        <v>-1.4256869275603601</v>
      </c>
      <c r="F7" s="30">
        <f>IFERROR(HistoricalFS!F27/HistoricalFS!E27-1,0)</f>
        <v>-6.9073349633252805</v>
      </c>
      <c r="G7" s="30">
        <f>IFERROR(HistoricalFS!G27/HistoricalFS!F27-1,0)</f>
        <v>2.6332519349364585</v>
      </c>
      <c r="H7" s="30">
        <f>IFERROR(HistoricalFS!H27/HistoricalFS!G27-1,0)</f>
        <v>-0.63140927058769947</v>
      </c>
      <c r="I7" s="30">
        <f>IFERROR(HistoricalFS!I27/HistoricalFS!H27-1,0)</f>
        <v>-0.20286809247125748</v>
      </c>
      <c r="J7" s="30">
        <f>IFERROR(HistoricalFS!J27/HistoricalFS!I27-1,0)</f>
        <v>0.40725806451613122</v>
      </c>
      <c r="K7" s="30">
        <f>IFERROR(HistoricalFS!K27/HistoricalFS!J27-1,0)</f>
        <v>1.041988097862022</v>
      </c>
      <c r="L7" s="30">
        <f>IFERROR(HistoricalFS!L27/HistoricalFS!K27-1,0)</f>
        <v>0.29824869124075981</v>
      </c>
      <c r="M7" s="41"/>
      <c r="N7" s="30">
        <f t="shared" si="0"/>
        <v>-1.404945674043212</v>
      </c>
      <c r="O7" s="30">
        <f t="shared" si="1"/>
        <v>-0.20286809247125748</v>
      </c>
    </row>
    <row r="8" spans="2:15" x14ac:dyDescent="0.25">
      <c r="B8" t="s">
        <v>100</v>
      </c>
      <c r="D8" s="30">
        <f>IFERROR(HistoricalFS!D33/HistoricalFS!C33-1,0)</f>
        <v>-1.1587179880386469</v>
      </c>
      <c r="E8" s="30">
        <f>IFERROR(HistoricalFS!E33/HistoricalFS!D33-1,0)</f>
        <v>-8.6164251207728633</v>
      </c>
      <c r="F8" s="30">
        <f>IFERROR(HistoricalFS!F33/HistoricalFS!E33-1,0)</f>
        <v>-3.0480781428390418</v>
      </c>
      <c r="G8" s="30">
        <f>IFERROR(HistoricalFS!G33/HistoricalFS!F33-1,0)</f>
        <v>2.4131929389903863</v>
      </c>
      <c r="H8" s="30">
        <f>IFERROR(HistoricalFS!H33/HistoricalFS!G33-1,0)</f>
        <v>-0.54494973324138962</v>
      </c>
      <c r="I8" s="30">
        <f>IFERROR(HistoricalFS!I33/HistoricalFS!H33-1,0)</f>
        <v>-0.28840325410751355</v>
      </c>
      <c r="J8" s="30">
        <f>IFERROR(HistoricalFS!J33/HistoricalFS!I33-1,0)</f>
        <v>0.24585294776956146</v>
      </c>
      <c r="K8" s="30">
        <f>IFERROR(HistoricalFS!K33/HistoricalFS!J33-1,0)</f>
        <v>1.26044712338626</v>
      </c>
      <c r="L8" s="30">
        <f>IFERROR(HistoricalFS!L33/HistoricalFS!K33-1,0)</f>
        <v>0.2769840006367934</v>
      </c>
      <c r="M8" s="41"/>
      <c r="N8" s="30">
        <f t="shared" si="0"/>
        <v>-1.0511219142462727</v>
      </c>
      <c r="O8" s="30">
        <f t="shared" si="1"/>
        <v>-0.28840325410751355</v>
      </c>
    </row>
    <row r="9" spans="2:15" x14ac:dyDescent="0.25">
      <c r="B9" s="31" t="s">
        <v>99</v>
      </c>
      <c r="C9" s="31"/>
      <c r="D9" s="32">
        <f>IFERROR(HistoricalFS!D41/HistoricalFS!C41-1,0)</f>
        <v>0.50000000000000022</v>
      </c>
      <c r="E9" s="32">
        <f>IFERROR(HistoricalFS!E41/HistoricalFS!D41-1,0)</f>
        <v>-0.33333333333333337</v>
      </c>
      <c r="F9" s="32">
        <f>IFERROR(HistoricalFS!F41/HistoricalFS!E41-1,0)</f>
        <v>1.4995503597122304</v>
      </c>
      <c r="G9" s="32">
        <f>IFERROR(HistoricalFS!G41/HistoricalFS!F41-1,0)</f>
        <v>0.50016650016650011</v>
      </c>
      <c r="H9" s="32">
        <f>IFERROR(HistoricalFS!H41/HistoricalFS!G41-1,0)</f>
        <v>-0.86663773970760227</v>
      </c>
      <c r="I9" s="32">
        <f>IFERROR(HistoricalFS!I41/HistoricalFS!H41-1,0)</f>
        <v>2.9991803278688525</v>
      </c>
      <c r="J9" s="32">
        <f>IFERROR(HistoricalFS!J41/HistoricalFS!I41-1,0)</f>
        <v>1.4998975199836035</v>
      </c>
      <c r="K9" s="32">
        <f>IFERROR(HistoricalFS!K41/HistoricalFS!J41-1,0)</f>
        <v>0.10002130522488883</v>
      </c>
      <c r="L9" s="32">
        <f>IFERROR(HistoricalFS!L41/HistoricalFS!K41-1,0)</f>
        <v>0</v>
      </c>
      <c r="M9" s="42"/>
      <c r="N9" s="32">
        <f t="shared" si="0"/>
        <v>0.65542721554612671</v>
      </c>
      <c r="O9" s="32">
        <f t="shared" si="1"/>
        <v>0.50000000000000022</v>
      </c>
    </row>
    <row r="11" spans="2:15" x14ac:dyDescent="0.25">
      <c r="B11" s="28" t="s">
        <v>91</v>
      </c>
      <c r="C11" s="29">
        <f>IFERROR(HistoricalFS!C13,0)</f>
        <v>0.13338428174823855</v>
      </c>
      <c r="D11" s="29">
        <f>IFERROR(HistoricalFS!D13,0)</f>
        <v>0.13514812773885435</v>
      </c>
      <c r="E11" s="29">
        <f>IFERROR(HistoricalFS!E13,0)</f>
        <v>0.10787650115492693</v>
      </c>
      <c r="F11" s="29">
        <f>IFERROR(HistoricalFS!F13,0)</f>
        <v>0.13413994641648319</v>
      </c>
      <c r="G11" s="29">
        <f>IFERROR(HistoricalFS!G13,0)</f>
        <v>0.14440074319692545</v>
      </c>
      <c r="H11" s="29">
        <f>IFERROR(HistoricalFS!H13,0)</f>
        <v>0.15004151186318046</v>
      </c>
      <c r="I11" s="29">
        <f>IFERROR(HistoricalFS!I13,0)</f>
        <v>0.13775973593042004</v>
      </c>
      <c r="J11" s="29">
        <f>IFERROR(HistoricalFS!J13,0)</f>
        <v>0.11096376715305137</v>
      </c>
      <c r="K11" s="29">
        <f>IFERROR(HistoricalFS!K13,0)</f>
        <v>0.11152281075339746</v>
      </c>
      <c r="L11" s="29">
        <f>IFERROR(HistoricalFS!L13,0)</f>
        <v>9.7263319286772482E-2</v>
      </c>
      <c r="M11" s="43"/>
      <c r="N11" s="29">
        <f>IFERROR(AVERAGE(C11:L11),0)</f>
        <v>0.12625007452422504</v>
      </c>
      <c r="O11" s="29">
        <f t="shared" ref="O11:O15" si="2">IFERROR(MEDIAN(C11:L11),0)</f>
        <v>0.13376211408236088</v>
      </c>
    </row>
    <row r="12" spans="2:15" x14ac:dyDescent="0.25">
      <c r="B12" t="s">
        <v>92</v>
      </c>
      <c r="C12" s="30">
        <f>IFERROR(HistoricalFS!C19,0)</f>
        <v>0.10508898978123377</v>
      </c>
      <c r="D12" s="30">
        <f>IFERROR(HistoricalFS!D19,0)</f>
        <v>0.10358812878847518</v>
      </c>
      <c r="E12" s="30">
        <f>IFERROR(HistoricalFS!E19,0)</f>
        <v>7.4994139260069162E-2</v>
      </c>
      <c r="F12" s="30">
        <f>IFERROR(HistoricalFS!F19,0)</f>
        <v>0.10400636900164952</v>
      </c>
      <c r="G12" s="30">
        <f>IFERROR(HistoricalFS!G19,0)</f>
        <v>0.12347661690307729</v>
      </c>
      <c r="H12" s="30">
        <f>IFERROR(HistoricalFS!H19,0)</f>
        <v>0.12095512112588708</v>
      </c>
      <c r="I12" s="30">
        <f>IFERROR(HistoricalFS!I19,0)</f>
        <v>0.11561598204648889</v>
      </c>
      <c r="J12" s="30">
        <f>IFERROR(HistoricalFS!J19,0)</f>
        <v>9.2276323491914142E-2</v>
      </c>
      <c r="K12" s="30">
        <f>IFERROR(HistoricalFS!K19,0)</f>
        <v>9.3805152696418315E-2</v>
      </c>
      <c r="L12" s="30">
        <f>IFERROR(HistoricalFS!L19,0)</f>
        <v>8.4858881955158505E-2</v>
      </c>
      <c r="M12" s="44"/>
      <c r="N12" s="30">
        <f t="shared" ref="N12:N40" si="3">IFERROR(AVERAGE(C12:L12),0)</f>
        <v>0.10186657050503718</v>
      </c>
      <c r="O12" s="30">
        <f t="shared" si="2"/>
        <v>0.10379724889506234</v>
      </c>
    </row>
    <row r="13" spans="2:15" x14ac:dyDescent="0.25">
      <c r="B13" t="s">
        <v>102</v>
      </c>
      <c r="C13" s="30">
        <f>IFERROR((HistoricalFS!C18-HistoricalFS!C24)/HistoricalFS!C6,0)</f>
        <v>7.6013703511761496E-2</v>
      </c>
      <c r="D13" s="30">
        <f>IFERROR((HistoricalFS!D18-HistoricalFS!D24)/HistoricalFS!D6,0)</f>
        <v>7.753129182082974E-2</v>
      </c>
      <c r="E13" s="30">
        <f>IFERROR((HistoricalFS!E18-HistoricalFS!E24)/HistoricalFS!E6,0)</f>
        <v>5.2490008966098893E-2</v>
      </c>
      <c r="F13" s="30">
        <f>IFERROR((HistoricalFS!F18-HistoricalFS!F24)/HistoricalFS!F6,0)</f>
        <v>8.3565735152503318E-2</v>
      </c>
      <c r="G13" s="30">
        <f>IFERROR((HistoricalFS!G18-HistoricalFS!G24)/HistoricalFS!G6,0)</f>
        <v>0.10854676464293354</v>
      </c>
      <c r="H13" s="30">
        <f>IFERROR((HistoricalFS!H18-HistoricalFS!H24)/HistoricalFS!H6,0)</f>
        <v>9.8573542281995274E-2</v>
      </c>
      <c r="I13" s="30">
        <f>IFERROR((HistoricalFS!I18-HistoricalFS!I24)/HistoricalFS!I6,0)</f>
        <v>9.2815576482309356E-2</v>
      </c>
      <c r="J13" s="30">
        <f>IFERROR((HistoricalFS!J18-HistoricalFS!J24)/HistoricalFS!J6,0)</f>
        <v>7.5510237063160582E-2</v>
      </c>
      <c r="K13" s="30">
        <f>IFERROR((HistoricalFS!K18-HistoricalFS!K24)/HistoricalFS!K6,0)</f>
        <v>8.0778427367374728E-2</v>
      </c>
      <c r="L13" s="30">
        <f>IFERROR((HistoricalFS!L18-HistoricalFS!L24)/HistoricalFS!L6,0)</f>
        <v>7.4692395667825734E-2</v>
      </c>
      <c r="M13" s="44"/>
      <c r="N13" s="30">
        <f t="shared" si="3"/>
        <v>8.205176829567927E-2</v>
      </c>
      <c r="O13" s="30">
        <f t="shared" si="2"/>
        <v>7.9154859594102234E-2</v>
      </c>
    </row>
    <row r="14" spans="2:15" x14ac:dyDescent="0.25">
      <c r="B14" t="s">
        <v>103</v>
      </c>
      <c r="C14" s="30">
        <f>IFERROR(HistoricalFS!C28,0)</f>
        <v>-1.4727385684055209E-3</v>
      </c>
      <c r="D14" s="30">
        <f>IFERROR(HistoricalFS!D28,0)</f>
        <v>1.0084756881576534E-2</v>
      </c>
      <c r="E14" s="30">
        <f>IFERROR(HistoricalFS!E28,0)</f>
        <v>-4.5441566478566812E-3</v>
      </c>
      <c r="F14" s="30">
        <f>IFERROR(HistoricalFS!F28,0)</f>
        <v>2.8795181297255095E-2</v>
      </c>
      <c r="G14" s="30">
        <f>IFERROR(HistoricalFS!G28,0)</f>
        <v>6.8071844437344681E-2</v>
      </c>
      <c r="H14" s="30">
        <f>IFERROR(HistoricalFS!H28,0)</f>
        <v>3.6350685928770318E-2</v>
      </c>
      <c r="I14" s="30">
        <f>IFERROR(HistoricalFS!I28,0)</f>
        <v>3.2445134362003719E-2</v>
      </c>
      <c r="J14" s="30">
        <f>IFERROR(HistoricalFS!J28,0)</f>
        <v>3.2587655189998892E-2</v>
      </c>
      <c r="K14" s="30">
        <f>IFERROR(HistoricalFS!K28,0)</f>
        <v>4.7652572651270653E-2</v>
      </c>
      <c r="L14" s="30">
        <f>IFERROR(HistoricalFS!L28,0)</f>
        <v>4.616031884925665E-2</v>
      </c>
      <c r="M14" s="44"/>
      <c r="N14" s="30">
        <f t="shared" si="3"/>
        <v>2.9613125438121436E-2</v>
      </c>
      <c r="O14" s="30">
        <f t="shared" si="2"/>
        <v>3.2516394776001309E-2</v>
      </c>
    </row>
    <row r="15" spans="2:15" x14ac:dyDescent="0.25">
      <c r="B15" s="31" t="s">
        <v>104</v>
      </c>
      <c r="C15" s="32">
        <f>IFERROR(HistoricalFS!C34,0)</f>
        <v>-6.8549094964831091E-3</v>
      </c>
      <c r="D15" s="32">
        <f>IFERROR(HistoricalFS!D34,0)</f>
        <v>1.0863575533338621E-3</v>
      </c>
      <c r="E15" s="32">
        <f>IFERROR(HistoricalFS!E34,0)</f>
        <v>-8.7583341943898458E-3</v>
      </c>
      <c r="F15" s="32">
        <f>IFERROR(HistoricalFS!F34,0)</f>
        <v>1.9241678823069572E-2</v>
      </c>
      <c r="G15" s="32">
        <f>IFERROR(HistoricalFS!G34,0)</f>
        <v>4.2732272302886828E-2</v>
      </c>
      <c r="H15" s="32">
        <f>IFERROR(HistoricalFS!H34,0)</f>
        <v>2.8171893940840777E-2</v>
      </c>
      <c r="I15" s="32">
        <f>IFERROR(HistoricalFS!I34,0)</f>
        <v>2.2446920655846539E-2</v>
      </c>
      <c r="J15" s="32">
        <f>IFERROR(HistoricalFS!J34,0)</f>
        <v>1.9959669454729597E-2</v>
      </c>
      <c r="K15" s="32">
        <f>IFERROR(HistoricalFS!K34,0)</f>
        <v>3.2309313520314804E-2</v>
      </c>
      <c r="L15" s="32">
        <f>IFERROR(HistoricalFS!L34,0)</f>
        <v>3.0784899563251783E-2</v>
      </c>
      <c r="M15" s="45"/>
      <c r="N15" s="32">
        <f t="shared" si="3"/>
        <v>1.8111976212340081E-2</v>
      </c>
      <c r="O15" s="32">
        <f t="shared" si="2"/>
        <v>2.120329505528807E-2</v>
      </c>
    </row>
    <row r="17" spans="2:15" x14ac:dyDescent="0.25">
      <c r="B17" s="28" t="s">
        <v>94</v>
      </c>
      <c r="C17" s="29">
        <f>IFERROR(HistoricalFS!C16,0)</f>
        <v>2.8295291967004768E-2</v>
      </c>
      <c r="D17" s="29">
        <f>IFERROR(HistoricalFS!D16,0)</f>
        <v>3.1559998950379177E-2</v>
      </c>
      <c r="E17" s="29">
        <f>IFERROR(HistoricalFS!E16,0)</f>
        <v>3.2882361894857777E-2</v>
      </c>
      <c r="F17" s="29">
        <f>IFERROR(HistoricalFS!F16,0)</f>
        <v>3.0133577414833676E-2</v>
      </c>
      <c r="G17" s="29">
        <f>IFERROR(HistoricalFS!G16,0)</f>
        <v>2.0924126293848152E-2</v>
      </c>
      <c r="H17" s="29">
        <f>IFERROR(HistoricalFS!H16,0)</f>
        <v>2.9086390737293379E-2</v>
      </c>
      <c r="I17" s="29">
        <f>IFERROR(HistoricalFS!I16,0)</f>
        <v>2.2143753883931156E-2</v>
      </c>
      <c r="J17" s="29">
        <f>IFERROR(HistoricalFS!J16,0)</f>
        <v>1.868744366113723E-2</v>
      </c>
      <c r="K17" s="29">
        <f>IFERROR(HistoricalFS!K16,0)</f>
        <v>1.7717658056979144E-2</v>
      </c>
      <c r="L17" s="29">
        <f>IFERROR(HistoricalFS!L16,0)</f>
        <v>1.2404437331613973E-2</v>
      </c>
      <c r="M17" s="43"/>
      <c r="N17" s="29">
        <f t="shared" si="3"/>
        <v>2.4383504019187843E-2</v>
      </c>
      <c r="O17" s="29">
        <f t="shared" ref="O17:O19" si="4">IFERROR(MEDIAN(C17:L17),0)</f>
        <v>2.521952292546796E-2</v>
      </c>
    </row>
    <row r="18" spans="2:15" x14ac:dyDescent="0.25">
      <c r="B18" t="s">
        <v>68</v>
      </c>
      <c r="C18" s="30">
        <f>IFERROR(HistoricalFS!C25,0)</f>
        <v>2.9075286269472263E-2</v>
      </c>
      <c r="D18" s="30">
        <f>IFERROR(HistoricalFS!D25,0)</f>
        <v>2.6056836967645439E-2</v>
      </c>
      <c r="E18" s="30">
        <f>IFERROR(HistoricalFS!E25,0)</f>
        <v>2.2504130293970272E-2</v>
      </c>
      <c r="F18" s="30">
        <f>IFERROR(HistoricalFS!F25,0)</f>
        <v>2.0440633849146191E-2</v>
      </c>
      <c r="G18" s="30">
        <f>IFERROR(HistoricalFS!G25,0)</f>
        <v>1.4929852260143739E-2</v>
      </c>
      <c r="H18" s="30">
        <f>IFERROR(HistoricalFS!H25,0)</f>
        <v>2.2381578843891803E-2</v>
      </c>
      <c r="I18" s="30">
        <f>IFERROR(HistoricalFS!I25,0)</f>
        <v>2.2800405564179525E-2</v>
      </c>
      <c r="J18" s="30">
        <f>IFERROR(HistoricalFS!J25,0)</f>
        <v>1.6766086428753563E-2</v>
      </c>
      <c r="K18" s="30">
        <f>IFERROR(HistoricalFS!K25,0)</f>
        <v>1.3026725329043599E-2</v>
      </c>
      <c r="L18" s="30">
        <f>IFERROR(HistoricalFS!L25,0)</f>
        <v>1.0166486287332766E-2</v>
      </c>
      <c r="M18" s="44"/>
      <c r="N18" s="30">
        <f t="shared" si="3"/>
        <v>1.9814802209357919E-2</v>
      </c>
      <c r="O18" s="30">
        <f t="shared" si="4"/>
        <v>2.1411106346518997E-2</v>
      </c>
    </row>
    <row r="19" spans="2:15" x14ac:dyDescent="0.25">
      <c r="B19" s="31" t="s">
        <v>93</v>
      </c>
      <c r="C19" s="33">
        <f>C13</f>
        <v>7.6013703511761496E-2</v>
      </c>
      <c r="D19" s="33">
        <f t="shared" ref="D19:L19" si="5">D13</f>
        <v>7.753129182082974E-2</v>
      </c>
      <c r="E19" s="33">
        <f t="shared" si="5"/>
        <v>5.2490008966098893E-2</v>
      </c>
      <c r="F19" s="33">
        <f t="shared" si="5"/>
        <v>8.3565735152503318E-2</v>
      </c>
      <c r="G19" s="33">
        <f t="shared" si="5"/>
        <v>0.10854676464293354</v>
      </c>
      <c r="H19" s="33">
        <f t="shared" si="5"/>
        <v>9.8573542281995274E-2</v>
      </c>
      <c r="I19" s="33">
        <f t="shared" si="5"/>
        <v>9.2815576482309356E-2</v>
      </c>
      <c r="J19" s="33">
        <f t="shared" si="5"/>
        <v>7.5510237063160582E-2</v>
      </c>
      <c r="K19" s="33">
        <f t="shared" si="5"/>
        <v>8.0778427367374728E-2</v>
      </c>
      <c r="L19" s="33">
        <f t="shared" si="5"/>
        <v>7.4692395667825734E-2</v>
      </c>
      <c r="M19" s="46"/>
      <c r="N19" s="32">
        <f t="shared" si="3"/>
        <v>8.205176829567927E-2</v>
      </c>
      <c r="O19" s="32">
        <f t="shared" si="4"/>
        <v>7.9154859594102234E-2</v>
      </c>
    </row>
    <row r="21" spans="2:15" x14ac:dyDescent="0.25">
      <c r="B21" s="28" t="s">
        <v>115</v>
      </c>
      <c r="C21" s="29">
        <f>IFERROR((HistoricalFS!C18-HistoricalFS!C24)/(SUM(HistoricalFS!C52:C54)),0)</f>
        <v>0.10647216978770659</v>
      </c>
      <c r="D21" s="29">
        <f>IFERROR((HistoricalFS!D18-HistoricalFS!D24)/(SUM(HistoricalFS!D52:D54)),0)</f>
        <v>0.11191784267320402</v>
      </c>
      <c r="E21" s="29">
        <f>IFERROR((HistoricalFS!E18-HistoricalFS!E24)/(SUM(HistoricalFS!E52:E54)),0)</f>
        <v>7.8483620174098059E-2</v>
      </c>
      <c r="F21" s="29">
        <f>IFERROR((HistoricalFS!F18-HistoricalFS!F24)/(SUM(HistoricalFS!F52:F54)),0)</f>
        <v>0.11413368145704103</v>
      </c>
      <c r="G21" s="29">
        <f>IFERROR((HistoricalFS!G18-HistoricalFS!G24)/(SUM(HistoricalFS!G52:G54)),0)</f>
        <v>0.19282522329915192</v>
      </c>
      <c r="H21" s="29">
        <f>IFERROR((HistoricalFS!H18-HistoricalFS!H24)/(SUM(HistoricalFS!H52:H54)),0)</f>
        <v>0.12378948972336025</v>
      </c>
      <c r="I21" s="29">
        <f>IFERROR((HistoricalFS!I18-HistoricalFS!I24)/(SUM(HistoricalFS!I52:I54)),0)</f>
        <v>0.10237983901293082</v>
      </c>
      <c r="J21" s="29">
        <f>IFERROR((HistoricalFS!J18-HistoricalFS!J24)/(SUM(HistoricalFS!J52:J54)),0)</f>
        <v>0.12226725709517314</v>
      </c>
      <c r="K21" s="29">
        <f>IFERROR((HistoricalFS!K18-HistoricalFS!K24)/(SUM(HistoricalFS!K52:K54)),0)</f>
        <v>0.17594756779844969</v>
      </c>
      <c r="L21" s="29">
        <f>IFERROR((HistoricalFS!L18-HistoricalFS!L24)/(SUM(HistoricalFS!L52:L54)),0)</f>
        <v>0.20433296761560804</v>
      </c>
      <c r="M21" s="43"/>
      <c r="N21" s="29">
        <f t="shared" si="3"/>
        <v>0.13325496586367236</v>
      </c>
      <c r="O21" s="29">
        <f t="shared" ref="O21:O25" si="6">IFERROR(MEDIAN(C21:L21),0)</f>
        <v>0.11820046927610708</v>
      </c>
    </row>
    <row r="22" spans="2:15" x14ac:dyDescent="0.25">
      <c r="B22" t="s">
        <v>98</v>
      </c>
      <c r="C22" s="30">
        <f>IFERROR(HistoricalFS!C44,0)</f>
        <v>0</v>
      </c>
      <c r="D22" s="30">
        <f>IFERROR(HistoricalFS!D44,0)</f>
        <v>0</v>
      </c>
      <c r="E22" s="30">
        <f>IFERROR(HistoricalFS!E44,0)</f>
        <v>0</v>
      </c>
      <c r="F22" s="30">
        <f>IFERROR(HistoricalFS!F44,0)</f>
        <v>0.62799628367915872</v>
      </c>
      <c r="G22" s="30">
        <f>IFERROR(HistoricalFS!G44,0)</f>
        <v>0.8364969331833193</v>
      </c>
      <c r="H22" s="30">
        <f>IFERROR(HistoricalFS!H44,0)</f>
        <v>0.95134790237677458</v>
      </c>
      <c r="I22" s="30">
        <f>IFERROR(HistoricalFS!I44,0)</f>
        <v>0.72657475902264013</v>
      </c>
      <c r="J22" s="30">
        <f>IFERROR(HistoricalFS!J44,0)</f>
        <v>0.45135171607215152</v>
      </c>
      <c r="K22" s="30">
        <f>IFERROR(HistoricalFS!K44,0)</f>
        <v>0.7251253681445512</v>
      </c>
      <c r="L22" s="30">
        <f>IFERROR(HistoricalFS!L44,0)</f>
        <v>0.78474700409842479</v>
      </c>
      <c r="M22" s="44"/>
      <c r="N22" s="30">
        <f t="shared" si="3"/>
        <v>0.51036399665770205</v>
      </c>
      <c r="O22" s="30">
        <f t="shared" si="6"/>
        <v>0.67656082591185496</v>
      </c>
    </row>
    <row r="23" spans="2:15" x14ac:dyDescent="0.25">
      <c r="B23" t="s">
        <v>114</v>
      </c>
      <c r="C23" s="30">
        <f>IFERROR(HistoricalFS!C33/SUM(HistoricalFS!C52:C53),0)</f>
        <v>-1.9168868886817896E-2</v>
      </c>
      <c r="D23" s="30">
        <f>IFERROR(HistoricalFS!D33/SUM(HistoricalFS!D52:D53),0)</f>
        <v>3.0512791787784379E-3</v>
      </c>
      <c r="E23" s="30">
        <f>IFERROR(HistoricalFS!E33/SUM(HistoricalFS!E52:E53),0)</f>
        <v>-2.2864717330834859E-2</v>
      </c>
      <c r="F23" s="30">
        <f>IFERROR(HistoricalFS!F33/SUM(HistoricalFS!F52:F53),0)</f>
        <v>3.9546652557734062E-2</v>
      </c>
      <c r="G23" s="30">
        <f>IFERROR(HistoricalFS!G33/SUM(HistoricalFS!G52:G53),0)</f>
        <v>0.12063696386976994</v>
      </c>
      <c r="H23" s="30">
        <f>IFERROR(HistoricalFS!H33/SUM(HistoricalFS!H52:H53),0)</f>
        <v>5.1108235078315196E-2</v>
      </c>
      <c r="I23" s="30">
        <f>IFERROR(HistoricalFS!I33/SUM(HistoricalFS!I52:I53),0)</f>
        <v>3.4683901064191572E-2</v>
      </c>
      <c r="J23" s="30">
        <f>IFERROR(HistoricalFS!J33/SUM(HistoricalFS!J52:J53),0)</f>
        <v>3.9867723302111302E-2</v>
      </c>
      <c r="K23" s="30">
        <f>IFERROR(HistoricalFS!K33/SUM(HistoricalFS!K52:K53),0)</f>
        <v>8.1487571410270673E-2</v>
      </c>
      <c r="L23" s="30">
        <f>IFERROR(HistoricalFS!L33/SUM(HistoricalFS!L52:L53),0)</f>
        <v>9.6647438890311438E-2</v>
      </c>
      <c r="M23" s="47"/>
      <c r="N23" s="30">
        <f t="shared" si="3"/>
        <v>4.2499617913382991E-2</v>
      </c>
      <c r="O23" s="30">
        <f t="shared" si="6"/>
        <v>3.9707187929922685E-2</v>
      </c>
    </row>
    <row r="24" spans="2:15" x14ac:dyDescent="0.25">
      <c r="B24" t="s">
        <v>97</v>
      </c>
      <c r="C24" s="30">
        <f>IFERROR(C22*C23,0)</f>
        <v>0</v>
      </c>
      <c r="D24" s="30">
        <f t="shared" ref="D24:L24" si="7">IFERROR(D22*D23,0)</f>
        <v>0</v>
      </c>
      <c r="E24" s="30">
        <f t="shared" si="7"/>
        <v>0</v>
      </c>
      <c r="F24" s="30">
        <f t="shared" si="7"/>
        <v>2.4835150838207889E-2</v>
      </c>
      <c r="G24" s="30">
        <f t="shared" si="7"/>
        <v>0.10091245030560944</v>
      </c>
      <c r="H24" s="30">
        <f t="shared" si="7"/>
        <v>4.8621712235934249E-2</v>
      </c>
      <c r="I24" s="30">
        <f>IFERROR(I22*I23,0)</f>
        <v>2.5200447057680084E-2</v>
      </c>
      <c r="J24" s="30">
        <f t="shared" si="7"/>
        <v>1.7994365328297641E-2</v>
      </c>
      <c r="K24" s="30">
        <f t="shared" si="7"/>
        <v>5.9088705218077929E-2</v>
      </c>
      <c r="L24" s="30">
        <f t="shared" si="7"/>
        <v>7.5843788122957487E-2</v>
      </c>
      <c r="M24" s="44"/>
      <c r="N24" s="30">
        <f t="shared" si="3"/>
        <v>3.524966191067648E-2</v>
      </c>
      <c r="O24" s="30">
        <f t="shared" si="6"/>
        <v>2.5017798947943988E-2</v>
      </c>
    </row>
    <row r="25" spans="2:15" x14ac:dyDescent="0.25">
      <c r="B25" s="31" t="s">
        <v>105</v>
      </c>
      <c r="C25" s="34">
        <f>((HistoricalFS!C18-HistoricalFS!C24)/HistoricalFS!C21)</f>
        <v>0.98099359670067399</v>
      </c>
      <c r="D25" s="34">
        <f>((HistoricalFS!D18-HistoricalFS!D24)/HistoricalFS!D21)</f>
        <v>1.1495222384761432</v>
      </c>
      <c r="E25" s="34">
        <f>((HistoricalFS!E18-HistoricalFS!E24)/HistoricalFS!E21)</f>
        <v>0.92032571005571484</v>
      </c>
      <c r="F25" s="34">
        <f>((HistoricalFS!F18-HistoricalFS!F24)/HistoricalFS!F21)</f>
        <v>1.5257420141004447</v>
      </c>
      <c r="G25" s="34">
        <f>((HistoricalFS!G18-HistoricalFS!G24)/HistoricalFS!G21)</f>
        <v>2.6818277612798149</v>
      </c>
      <c r="H25" s="34">
        <f>((HistoricalFS!H18-HistoricalFS!H24)/HistoricalFS!H21)</f>
        <v>1.5842014986007034</v>
      </c>
      <c r="I25" s="34">
        <f>((HistoricalFS!I18-HistoricalFS!I24)/HistoricalFS!I21)</f>
        <v>1.5374341022275002</v>
      </c>
      <c r="J25" s="34">
        <f>((HistoricalFS!J18-HistoricalFS!J24)/HistoricalFS!J21)</f>
        <v>1.7592193611814169</v>
      </c>
      <c r="K25" s="34">
        <f>((HistoricalFS!K18-HistoricalFS!K24)/HistoricalFS!K21)</f>
        <v>2.4385311129226341</v>
      </c>
      <c r="L25" s="34">
        <f>((HistoricalFS!L18-HistoricalFS!L24)/HistoricalFS!L21)</f>
        <v>2.6178394283312327</v>
      </c>
      <c r="M25" s="46"/>
      <c r="N25" s="34">
        <f t="shared" si="3"/>
        <v>1.7195636823876281</v>
      </c>
      <c r="O25" s="34">
        <f t="shared" si="6"/>
        <v>1.5608178004141018</v>
      </c>
    </row>
    <row r="27" spans="2:15" x14ac:dyDescent="0.25">
      <c r="B27" s="28" t="s">
        <v>106</v>
      </c>
      <c r="C27" s="63" t="s">
        <v>60</v>
      </c>
      <c r="D27" s="63" t="s">
        <v>60</v>
      </c>
      <c r="E27" s="63" t="s">
        <v>60</v>
      </c>
      <c r="F27" s="63" t="s">
        <v>60</v>
      </c>
      <c r="G27" s="63" t="s">
        <v>60</v>
      </c>
      <c r="H27" s="63" t="s">
        <v>60</v>
      </c>
      <c r="I27" s="63" t="s">
        <v>60</v>
      </c>
      <c r="J27" s="63" t="s">
        <v>60</v>
      </c>
      <c r="K27" s="63" t="s">
        <v>60</v>
      </c>
      <c r="L27" s="63" t="s">
        <v>60</v>
      </c>
      <c r="M27" s="43"/>
      <c r="N27" s="35">
        <f t="shared" si="3"/>
        <v>0</v>
      </c>
      <c r="O27" s="35">
        <f t="shared" ref="O27:O31" si="8">IFERROR(MEDIAN(C27:L27),0)</f>
        <v>0</v>
      </c>
    </row>
    <row r="28" spans="2:15" x14ac:dyDescent="0.25">
      <c r="B28" t="s">
        <v>110</v>
      </c>
      <c r="C28" s="36">
        <f>IFERROR(HistoricalFS!C6/HistoricalFS!C55,0)</f>
        <v>1.653544306217767</v>
      </c>
      <c r="D28" s="36">
        <f>IFERROR(HistoricalFS!D6/HistoricalFS!D55,0)</f>
        <v>1.6653149192709653</v>
      </c>
      <c r="E28" s="36">
        <f>IFERROR(HistoricalFS!E6/HistoricalFS!E55,0)</f>
        <v>1.7683265617264061</v>
      </c>
      <c r="F28" s="36">
        <f>IFERROR(HistoricalFS!F6/HistoricalFS!F55,0)</f>
        <v>1.3392966595157829</v>
      </c>
      <c r="G28" s="36">
        <f>IFERROR(HistoricalFS!G6/HistoricalFS!G55,0)</f>
        <v>1.7424068206538261</v>
      </c>
      <c r="H28" s="36">
        <f>IFERROR(HistoricalFS!H6/HistoricalFS!H55,0)</f>
        <v>1.3237819324000553</v>
      </c>
      <c r="I28" s="36">
        <f>IFERROR(HistoricalFS!I6/HistoricalFS!I55,0)</f>
        <v>1.2552198058135917</v>
      </c>
      <c r="J28" s="36">
        <f>IFERROR(HistoricalFS!J6/HistoricalFS!J55,0)</f>
        <v>1.4695099988521472</v>
      </c>
      <c r="K28" s="36">
        <f>IFERROR(HistoricalFS!K6/HistoricalFS!K55,0)</f>
        <v>1.6529528230601724</v>
      </c>
      <c r="L28" s="36">
        <f>IFERROR(HistoricalFS!L6/HistoricalFS!L55,0)</f>
        <v>1.989926722442636</v>
      </c>
      <c r="M28" s="44"/>
      <c r="N28" s="36">
        <f t="shared" si="3"/>
        <v>1.5860280549953347</v>
      </c>
      <c r="O28" s="36">
        <f t="shared" si="8"/>
        <v>1.6532485646389699</v>
      </c>
    </row>
    <row r="29" spans="2:15" x14ac:dyDescent="0.25">
      <c r="B29" t="s">
        <v>107</v>
      </c>
      <c r="C29" s="36">
        <f>IFERROR(HistoricalFS!C6/HistoricalFS!C65,0)</f>
        <v>3.4504622795149782</v>
      </c>
      <c r="D29" s="36">
        <f>IFERROR(HistoricalFS!D6/HistoricalFS!D65,0)</f>
        <v>3.3280527891403602</v>
      </c>
      <c r="E29" s="36">
        <f>IFERROR(HistoricalFS!E6/HistoricalFS!E65,0)</f>
        <v>3.3113461609212318</v>
      </c>
      <c r="F29" s="36">
        <f>IFERROR(HistoricalFS!F6/HistoricalFS!F65,0)</f>
        <v>2.964429558655191</v>
      </c>
      <c r="G29" s="36">
        <f>IFERROR(HistoricalFS!G6/HistoricalFS!G65,0)</f>
        <v>9.0469689422692401</v>
      </c>
      <c r="H29" s="36">
        <f>IFERROR(HistoricalFS!H6/HistoricalFS!H65,0)</f>
        <v>6.3977100388847763</v>
      </c>
      <c r="I29" s="36">
        <f>IFERROR(HistoricalFS!I6/HistoricalFS!I65,0)</f>
        <v>6.5041359504504133</v>
      </c>
      <c r="J29" s="36">
        <f>IFERROR(HistoricalFS!J6/HistoricalFS!J65,0)</f>
        <v>9.6571349298558964</v>
      </c>
      <c r="K29" s="36">
        <f>IFERROR(HistoricalFS!K6/HistoricalFS!K65,0)</f>
        <v>11.319556341564594</v>
      </c>
      <c r="L29" s="36">
        <f>IFERROR(HistoricalFS!L6/HistoricalFS!L65,0)</f>
        <v>11.818478704585658</v>
      </c>
      <c r="M29" s="44"/>
      <c r="N29" s="36">
        <f t="shared" si="3"/>
        <v>6.7798275695842332</v>
      </c>
      <c r="O29" s="36">
        <f t="shared" si="8"/>
        <v>6.4509229946675948</v>
      </c>
    </row>
    <row r="30" spans="2:15" x14ac:dyDescent="0.25">
      <c r="B30" t="s">
        <v>108</v>
      </c>
      <c r="C30" s="36">
        <f>IFERROR(HistoricalFS!C6/HistoricalFS!C58,0)</f>
        <v>3.8894958275240308</v>
      </c>
      <c r="D30" s="36">
        <f>IFERROR(HistoricalFS!D6/HistoricalFS!D58,0)</f>
        <v>5.6906283598136422</v>
      </c>
      <c r="E30" s="36">
        <f>IFERROR(HistoricalFS!E6/HistoricalFS!E58,0)</f>
        <v>8.1929126690819061</v>
      </c>
      <c r="F30" s="36">
        <f>IFERROR(HistoricalFS!F6/HistoricalFS!F58,0)</f>
        <v>7.2455528306448826</v>
      </c>
      <c r="G30" s="36">
        <f>IFERROR(HistoricalFS!G6/HistoricalFS!G58,0)</f>
        <v>8.315797619201156</v>
      </c>
      <c r="H30" s="36">
        <f>IFERROR(HistoricalFS!H6/HistoricalFS!H58,0)</f>
        <v>6.2981199895279811</v>
      </c>
      <c r="I30" s="36">
        <f>IFERROR(HistoricalFS!I6/HistoricalFS!I58,0)</f>
        <v>5.6100748770280662</v>
      </c>
      <c r="J30" s="36">
        <f>IFERROR(HistoricalFS!J6/HistoricalFS!J58,0)</f>
        <v>7.721021801670652</v>
      </c>
      <c r="K30" s="36">
        <f>IFERROR(HistoricalFS!K6/HistoricalFS!K58,0)</f>
        <v>10.349138648053392</v>
      </c>
      <c r="L30" s="36">
        <f>IFERROR(HistoricalFS!L6/HistoricalFS!L58,0)</f>
        <v>13.316910496390468</v>
      </c>
      <c r="M30" s="44"/>
      <c r="N30" s="36">
        <f t="shared" si="3"/>
        <v>7.6629653118936174</v>
      </c>
      <c r="O30" s="36">
        <f t="shared" si="8"/>
        <v>7.4832873161577673</v>
      </c>
    </row>
    <row r="31" spans="2:15" x14ac:dyDescent="0.25">
      <c r="B31" s="31" t="s">
        <v>112</v>
      </c>
      <c r="C31" s="34">
        <f>IFERROR(HistoricalFS!C6/SUM(HistoricalFS!C52:C53),0)</f>
        <v>2.7963708195786436</v>
      </c>
      <c r="D31" s="34">
        <f>IFERROR(HistoricalFS!D6/SUM(HistoricalFS!D52:D53),0)</f>
        <v>2.8087245947842288</v>
      </c>
      <c r="E31" s="34">
        <f>IFERROR(HistoricalFS!E6/SUM(HistoricalFS!E52:E53),0)</f>
        <v>2.6106239866344514</v>
      </c>
      <c r="F31" s="34">
        <f>IFERROR(HistoricalFS!F6/SUM(HistoricalFS!F52:F53),0)</f>
        <v>2.0552599864789394</v>
      </c>
      <c r="G31" s="34">
        <f>IFERROR(HistoricalFS!G6/SUM(HistoricalFS!G52:G53),0)</f>
        <v>2.8230879700169877</v>
      </c>
      <c r="H31" s="34">
        <f>IFERROR(HistoricalFS!H6/SUM(HistoricalFS!H52:H53),0)</f>
        <v>1.8141568751337525</v>
      </c>
      <c r="I31" s="34">
        <f>IFERROR(HistoricalFS!I6/SUM(HistoricalFS!I52:I53),0)</f>
        <v>1.5451518538315758</v>
      </c>
      <c r="J31" s="34">
        <f>IFERROR(HistoricalFS!J6/SUM(HistoricalFS!J52:J53),0)</f>
        <v>1.9974140049029889</v>
      </c>
      <c r="K31" s="34">
        <f>IFERROR(HistoricalFS!K6/SUM(HistoricalFS!K52:K53),0)</f>
        <v>2.5221077928206226</v>
      </c>
      <c r="L31" s="34">
        <f>IFERROR(HistoricalFS!L6/SUM(HistoricalFS!L52:L53),0)</f>
        <v>3.1394430471256229</v>
      </c>
      <c r="M31" s="46"/>
      <c r="N31" s="34">
        <f t="shared" si="3"/>
        <v>2.4112340931307816</v>
      </c>
      <c r="O31" s="34">
        <f t="shared" si="8"/>
        <v>2.5663658897275372</v>
      </c>
    </row>
    <row r="33" spans="2:15" x14ac:dyDescent="0.25">
      <c r="B33" s="28" t="s">
        <v>109</v>
      </c>
      <c r="C33" s="37">
        <f>IFERROR(365/C27,0)</f>
        <v>0</v>
      </c>
      <c r="D33" s="37">
        <f t="shared" ref="D33:L35" si="9">IFERROR(365/D27,0)</f>
        <v>0</v>
      </c>
      <c r="E33" s="37">
        <f t="shared" si="9"/>
        <v>0</v>
      </c>
      <c r="F33" s="37">
        <f t="shared" si="9"/>
        <v>0</v>
      </c>
      <c r="G33" s="37">
        <f t="shared" si="9"/>
        <v>0</v>
      </c>
      <c r="H33" s="37">
        <f t="shared" si="9"/>
        <v>0</v>
      </c>
      <c r="I33" s="37">
        <f t="shared" si="9"/>
        <v>0</v>
      </c>
      <c r="J33" s="37">
        <f t="shared" si="9"/>
        <v>0</v>
      </c>
      <c r="K33" s="37">
        <f t="shared" si="9"/>
        <v>0</v>
      </c>
      <c r="L33" s="37">
        <f t="shared" si="9"/>
        <v>0</v>
      </c>
      <c r="M33" s="43"/>
      <c r="N33" s="37">
        <f t="shared" si="3"/>
        <v>0</v>
      </c>
      <c r="O33" s="37">
        <f t="shared" ref="O33:O40" si="10">IFERROR(MEDIAN(C33:L33),0)</f>
        <v>0</v>
      </c>
    </row>
    <row r="34" spans="2:15" x14ac:dyDescent="0.25">
      <c r="B34" t="s">
        <v>111</v>
      </c>
      <c r="C34" s="38">
        <f>IFERROR(365/C28,0)</f>
        <v>220.73796186017077</v>
      </c>
      <c r="D34" s="38">
        <f t="shared" si="9"/>
        <v>219.17776378283347</v>
      </c>
      <c r="E34" s="38">
        <f t="shared" si="9"/>
        <v>206.40983848800687</v>
      </c>
      <c r="F34" s="38">
        <f t="shared" si="9"/>
        <v>272.53110608964278</v>
      </c>
      <c r="G34" s="38">
        <f t="shared" si="9"/>
        <v>209.48035537592551</v>
      </c>
      <c r="H34" s="38">
        <f t="shared" si="9"/>
        <v>275.72517124345728</v>
      </c>
      <c r="I34" s="38">
        <f t="shared" si="9"/>
        <v>290.78572398992634</v>
      </c>
      <c r="J34" s="38">
        <f t="shared" si="9"/>
        <v>248.38211395982751</v>
      </c>
      <c r="K34" s="38">
        <f t="shared" si="9"/>
        <v>220.81694946638711</v>
      </c>
      <c r="L34" s="38">
        <f t="shared" si="9"/>
        <v>183.42383962358289</v>
      </c>
      <c r="M34" s="44"/>
      <c r="N34" s="38">
        <f t="shared" si="3"/>
        <v>234.74708238797604</v>
      </c>
      <c r="O34" s="38">
        <f t="shared" si="10"/>
        <v>220.77745566327894</v>
      </c>
    </row>
    <row r="35" spans="2:15" x14ac:dyDescent="0.25">
      <c r="B35" t="s">
        <v>113</v>
      </c>
      <c r="C35" s="38">
        <f>IFERROR(365/C29,0)</f>
        <v>105.78292716514119</v>
      </c>
      <c r="D35" s="38">
        <f t="shared" si="9"/>
        <v>109.67374111102363</v>
      </c>
      <c r="E35" s="38">
        <f t="shared" si="9"/>
        <v>110.22707450750342</v>
      </c>
      <c r="F35" s="38">
        <f t="shared" si="9"/>
        <v>123.12655530448215</v>
      </c>
      <c r="G35" s="38">
        <f t="shared" si="9"/>
        <v>40.345004202970934</v>
      </c>
      <c r="H35" s="38">
        <f t="shared" si="9"/>
        <v>57.05166345169738</v>
      </c>
      <c r="I35" s="38">
        <f t="shared" si="9"/>
        <v>56.118138178634418</v>
      </c>
      <c r="J35" s="38">
        <f t="shared" si="9"/>
        <v>37.79588901378709</v>
      </c>
      <c r="K35" s="38">
        <f t="shared" si="9"/>
        <v>32.24508001782246</v>
      </c>
      <c r="L35" s="38">
        <f t="shared" si="9"/>
        <v>30.883839546825708</v>
      </c>
      <c r="M35" s="44"/>
      <c r="N35" s="38">
        <f t="shared" si="3"/>
        <v>70.324991249988855</v>
      </c>
      <c r="O35" s="38">
        <f t="shared" si="10"/>
        <v>56.584900815165895</v>
      </c>
    </row>
    <row r="36" spans="2:15" x14ac:dyDescent="0.25">
      <c r="B36" s="31" t="s">
        <v>124</v>
      </c>
      <c r="C36" s="39">
        <f>SUM(C33,C35)-C34</f>
        <v>-114.95503469502958</v>
      </c>
      <c r="D36" s="39">
        <f t="shared" ref="D36:L36" si="11">SUM(D33,D35)-D34</f>
        <v>-109.50402267180984</v>
      </c>
      <c r="E36" s="39">
        <f t="shared" si="11"/>
        <v>-96.182763980503452</v>
      </c>
      <c r="F36" s="39">
        <f t="shared" si="11"/>
        <v>-149.40455078516061</v>
      </c>
      <c r="G36" s="39">
        <f t="shared" si="11"/>
        <v>-169.13535117295459</v>
      </c>
      <c r="H36" s="39">
        <f t="shared" si="11"/>
        <v>-218.6735077917599</v>
      </c>
      <c r="I36" s="39">
        <f t="shared" si="11"/>
        <v>-234.66758581129193</v>
      </c>
      <c r="J36" s="39">
        <f t="shared" si="11"/>
        <v>-210.58622494604043</v>
      </c>
      <c r="K36" s="39">
        <f t="shared" si="11"/>
        <v>-188.57186944856466</v>
      </c>
      <c r="L36" s="39">
        <f t="shared" si="11"/>
        <v>-152.5400000767572</v>
      </c>
      <c r="M36" s="46"/>
      <c r="N36" s="39">
        <f t="shared" si="3"/>
        <v>-164.42209113798722</v>
      </c>
      <c r="O36" s="39">
        <f t="shared" si="10"/>
        <v>-160.83767562485588</v>
      </c>
    </row>
    <row r="38" spans="2:15" x14ac:dyDescent="0.25">
      <c r="B38" s="28" t="s">
        <v>116</v>
      </c>
      <c r="C38" s="29">
        <f>IFERROR(HistoricalFS!C75/HistoricalFS!C6,0)</f>
        <v>9.1130035141791826E-2</v>
      </c>
      <c r="D38" s="29">
        <f>IFERROR(HistoricalFS!D75/HistoricalFS!D6,0)</f>
        <v>4.1508305124773673E-2</v>
      </c>
      <c r="E38" s="29">
        <f>IFERROR(HistoricalFS!E75/HistoricalFS!E6,0)</f>
        <v>3.4838904647150122E-2</v>
      </c>
      <c r="F38" s="29">
        <f>IFERROR(HistoricalFS!F75/HistoricalFS!F6,0)</f>
        <v>6.9817081891250243E-2</v>
      </c>
      <c r="G38" s="29">
        <f>IFERROR(HistoricalFS!G75/HistoricalFS!G6,0)</f>
        <v>5.2198262358440529E-2</v>
      </c>
      <c r="H38" s="29">
        <f>IFERROR(HistoricalFS!H75/HistoricalFS!H6,0)</f>
        <v>0.10463798172579251</v>
      </c>
      <c r="I38" s="29">
        <f>IFERROR(HistoricalFS!I75/HistoricalFS!I6,0)</f>
        <v>0.10589954990426975</v>
      </c>
      <c r="J38" s="29">
        <f>IFERROR(HistoricalFS!J75/HistoricalFS!J6,0)</f>
        <v>0.12709239393928512</v>
      </c>
      <c r="K38" s="29">
        <f>IFERROR(HistoricalFS!K75/HistoricalFS!K6,0)</f>
        <v>7.0731112984226602E-2</v>
      </c>
      <c r="L38" s="29">
        <f>IFERROR(HistoricalFS!L75/HistoricalFS!L6,0)</f>
        <v>6.5217203583024394E-2</v>
      </c>
      <c r="M38" s="48"/>
      <c r="N38" s="29">
        <f t="shared" si="3"/>
        <v>7.6307083130000494E-2</v>
      </c>
      <c r="O38" s="29">
        <f t="shared" si="10"/>
        <v>7.0274097437738423E-2</v>
      </c>
    </row>
    <row r="39" spans="2:15" x14ac:dyDescent="0.25">
      <c r="B39" t="s">
        <v>117</v>
      </c>
      <c r="C39" s="30">
        <f>IFERROR(HistoricalFS!C75/HistoricalFS!C69,HistoricalFS!B57)</f>
        <v>6.9106394240695382E-2</v>
      </c>
      <c r="D39" s="30">
        <f>IFERROR(HistoricalFS!D75/HistoricalFS!D69,HistoricalFS!C57)</f>
        <v>3.2096394694915431E-2</v>
      </c>
      <c r="E39" s="30">
        <f>IFERROR(HistoricalFS!E75/HistoricalFS!E69,HistoricalFS!D57)</f>
        <v>2.8225443495105081E-2</v>
      </c>
      <c r="F39" s="30">
        <f>IFERROR(HistoricalFS!F75/HistoricalFS!F69,HistoricalFS!E57)</f>
        <v>4.7210874595132152E-2</v>
      </c>
      <c r="G39" s="30">
        <f>IFERROR(HistoricalFS!G75/HistoricalFS!G69,HistoricalFS!F57)</f>
        <v>4.5914939391024923E-2</v>
      </c>
      <c r="H39" s="30">
        <f>IFERROR(HistoricalFS!H75/HistoricalFS!H69,HistoricalFS!G57)</f>
        <v>6.7433928303802002E-2</v>
      </c>
      <c r="I39" s="30">
        <f>IFERROR(HistoricalFS!I75/HistoricalFS!I69,HistoricalFS!H57)</f>
        <v>6.2174849407823411E-2</v>
      </c>
      <c r="J39" s="30">
        <f>IFERROR(HistoricalFS!J75/HistoricalFS!J69,HistoricalFS!I57)</f>
        <v>9.7907800461889918E-2</v>
      </c>
      <c r="K39" s="30">
        <f>IFERROR(HistoricalFS!K75/HistoricalFS!K69,HistoricalFS!J57)</f>
        <v>6.647142135525301E-2</v>
      </c>
      <c r="L39" s="30">
        <f>IFERROR(HistoricalFS!L75/HistoricalFS!L69,HistoricalFS!K57)</f>
        <v>7.5128654608797155E-2</v>
      </c>
      <c r="M39" s="47"/>
      <c r="N39" s="30">
        <f t="shared" si="3"/>
        <v>5.9167070055443839E-2</v>
      </c>
      <c r="O39" s="30">
        <f t="shared" si="10"/>
        <v>6.4323135381538207E-2</v>
      </c>
    </row>
    <row r="40" spans="2:15" x14ac:dyDescent="0.25">
      <c r="B40" s="31" t="s">
        <v>118</v>
      </c>
      <c r="C40" s="32">
        <f>IFERROR(HistoricalFS!C75/HistoricalFS!C54,0)</f>
        <v>0.25575055978900602</v>
      </c>
      <c r="D40" s="32">
        <f>IFERROR(HistoricalFS!D75/HistoricalFS!D54,0)</f>
        <v>0.12327306733167082</v>
      </c>
      <c r="E40" s="32">
        <f>IFERROR(HistoricalFS!E75/HistoricalFS!E54,0)</f>
        <v>0.12192011446656792</v>
      </c>
      <c r="F40" s="32">
        <f>IFERROR(HistoricalFS!F75/HistoricalFS!F54,0)</f>
        <v>0.28425097894598933</v>
      </c>
      <c r="G40" s="32">
        <f>IFERROR(HistoricalFS!G75/HistoricalFS!G54,0)</f>
        <v>0.25010403507468232</v>
      </c>
      <c r="H40" s="32">
        <f>IFERROR(HistoricalFS!H75/HistoricalFS!H54,0)</f>
        <v>0.42695521827024902</v>
      </c>
      <c r="I40" s="32">
        <f>IFERROR(HistoricalFS!I75/HistoricalFS!I54,0)</f>
        <v>0.40825590192236816</v>
      </c>
      <c r="J40" s="32">
        <f>IFERROR(HistoricalFS!J75/HistoricalFS!J54,0)</f>
        <v>1.0868530362476294</v>
      </c>
      <c r="K40" s="32">
        <f>IFERROR(HistoricalFS!K75/HistoricalFS!K54,0)</f>
        <v>1.1296851574212892</v>
      </c>
      <c r="L40" s="32">
        <f>IFERROR(HistoricalFS!L75/HistoricalFS!L54,0)</f>
        <v>1.3871655680496318</v>
      </c>
      <c r="M40" s="45"/>
      <c r="N40" s="32">
        <f t="shared" si="3"/>
        <v>0.54742136375190831</v>
      </c>
      <c r="O40" s="32">
        <f t="shared" si="10"/>
        <v>0.34625344043417872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topLeftCell="A10" zoomScale="85" zoomScaleNormal="85" workbookViewId="0">
      <selection activeCell="L2" sqref="L2:O2"/>
    </sheetView>
  </sheetViews>
  <sheetFormatPr defaultRowHeight="15" x14ac:dyDescent="0.25"/>
  <cols>
    <col min="1" max="1" width="1.85546875" customWidth="1"/>
    <col min="2" max="2" width="12.42578125" customWidth="1"/>
    <col min="3" max="3" width="8.5703125" customWidth="1"/>
    <col min="4" max="4" width="11.85546875" customWidth="1"/>
    <col min="5" max="5" width="27.7109375" customWidth="1"/>
    <col min="6" max="6" width="2.7109375" customWidth="1"/>
    <col min="7" max="7" width="24.28515625" customWidth="1"/>
    <col min="8" max="8" width="6.28515625" bestFit="1" customWidth="1"/>
    <col min="9" max="9" width="10.140625" customWidth="1"/>
    <col min="10" max="10" width="19.42578125" customWidth="1"/>
    <col min="11" max="11" width="2.7109375" customWidth="1"/>
    <col min="12" max="12" width="25.5703125" customWidth="1"/>
    <col min="13" max="13" width="18.7109375" customWidth="1"/>
    <col min="14" max="14" width="7.7109375" customWidth="1"/>
    <col min="15" max="15" width="20.5703125" customWidth="1"/>
  </cols>
  <sheetData>
    <row r="2" spans="2:15" x14ac:dyDescent="0.25">
      <c r="B2" s="115" t="str">
        <f>'Data Sheet'!$B$1&amp;" - "&amp;'Data Sheet'!A17&amp;" Forecasting"</f>
        <v>NCC LTD - Sales Forecasting</v>
      </c>
      <c r="C2" s="115"/>
      <c r="D2" s="115"/>
      <c r="E2" s="115"/>
      <c r="G2" s="115" t="str">
        <f>'Data Sheet'!$B$1&amp;" - "&amp;'Data Sheet'!A34&amp;" Forecasting"</f>
        <v>NCC LTD - EBITDA Forecasting</v>
      </c>
      <c r="H2" s="115"/>
      <c r="I2" s="115"/>
      <c r="J2" s="115"/>
      <c r="L2" s="115" t="str">
        <f>'Data Sheet'!$B$1&amp;" - "&amp;HistoricalFS!B38&amp;" Forecasting"</f>
        <v>NCC LTD - Earnings per Share Forecasting</v>
      </c>
      <c r="M2" s="115"/>
      <c r="N2" s="115"/>
      <c r="O2" s="115"/>
    </row>
    <row r="3" spans="2:15" x14ac:dyDescent="0.25">
      <c r="B3" s="100" t="s">
        <v>119</v>
      </c>
      <c r="C3" s="58" t="s">
        <v>120</v>
      </c>
      <c r="D3" s="58" t="s">
        <v>11</v>
      </c>
      <c r="E3" s="58" t="s">
        <v>59</v>
      </c>
      <c r="G3" s="57" t="s">
        <v>119</v>
      </c>
      <c r="H3" s="58" t="s">
        <v>120</v>
      </c>
      <c r="I3" s="58" t="s">
        <v>11</v>
      </c>
      <c r="J3" s="58" t="s">
        <v>59</v>
      </c>
      <c r="L3" s="57" t="s">
        <v>119</v>
      </c>
      <c r="M3" s="58" t="s">
        <v>120</v>
      </c>
      <c r="N3" s="58" t="s">
        <v>11</v>
      </c>
      <c r="O3" s="58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9512.89</v>
      </c>
      <c r="G4" s="25">
        <v>1</v>
      </c>
      <c r="H4" s="26">
        <f>'Data Sheet'!$B$16</f>
        <v>42094</v>
      </c>
      <c r="I4" s="27">
        <f t="array" ref="I4:I13">TRANSPOSE('Data Sheet'!B34:K34)</f>
        <v>1118.78</v>
      </c>
      <c r="L4" s="25">
        <v>1</v>
      </c>
      <c r="M4" s="26">
        <f>'Data Sheet'!$B$16</f>
        <v>42094</v>
      </c>
      <c r="N4" s="27">
        <f t="array" ref="N4:N13">TRANSPOSE(HistoricalFS!C38:L38)</f>
        <v>-1.1730527073214463</v>
      </c>
    </row>
    <row r="5" spans="2:15" x14ac:dyDescent="0.25">
      <c r="B5" s="25">
        <f>B4+1</f>
        <v>2</v>
      </c>
      <c r="C5" s="26">
        <f>C4+365</f>
        <v>42459</v>
      </c>
      <c r="D5" s="27">
        <v>9527.25</v>
      </c>
      <c r="E5" s="13">
        <f>D5/D4-1</f>
        <v>1.5095307524843893E-3</v>
      </c>
      <c r="G5" s="25">
        <f>G4+1</f>
        <v>2</v>
      </c>
      <c r="H5" s="26">
        <f>H4+365</f>
        <v>42459</v>
      </c>
      <c r="I5" s="27">
        <v>1096.99</v>
      </c>
      <c r="J5" s="13">
        <f>I5/I4-1</f>
        <v>-1.9476572695257266E-2</v>
      </c>
      <c r="L5" s="25">
        <f>L4+1</f>
        <v>2</v>
      </c>
      <c r="M5" s="26">
        <f>M4+365</f>
        <v>42459</v>
      </c>
      <c r="N5" s="27">
        <v>0.18618456556934765</v>
      </c>
      <c r="O5" s="13">
        <f>N5/N4-1</f>
        <v>-1.1587179880386469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9000.57</v>
      </c>
      <c r="E6" s="13">
        <f t="shared" ref="E6:E18" si="2">D6/D5-1</f>
        <v>-5.5281429583562969E-2</v>
      </c>
      <c r="G6" s="25">
        <f t="shared" ref="G6:G24" si="3">G5+1</f>
        <v>3</v>
      </c>
      <c r="H6" s="26">
        <f t="shared" ref="H6:H24" si="4">H5+365</f>
        <v>42824</v>
      </c>
      <c r="I6" s="27">
        <v>785.5</v>
      </c>
      <c r="J6" s="13">
        <f t="shared" ref="J6:J18" si="5">I6/I5-1</f>
        <v>-0.28394971695275251</v>
      </c>
      <c r="L6" s="25">
        <f t="shared" ref="L6:L24" si="6">L5+1</f>
        <v>3</v>
      </c>
      <c r="M6" s="26">
        <f t="shared" ref="M6:M24" si="7">M5+365</f>
        <v>42824</v>
      </c>
      <c r="N6" s="27">
        <v>-1.4180608023025618</v>
      </c>
      <c r="O6" s="13">
        <f t="shared" ref="O6:O18" si="8">N6/N5-1</f>
        <v>-8.6164251207728633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8390.64</v>
      </c>
      <c r="E7" s="13">
        <f t="shared" si="2"/>
        <v>-6.7765708171815819E-2</v>
      </c>
      <c r="G7" s="25">
        <f t="shared" si="3"/>
        <v>4</v>
      </c>
      <c r="H7" s="26">
        <f t="shared" si="4"/>
        <v>43189</v>
      </c>
      <c r="I7" s="27">
        <v>879.86</v>
      </c>
      <c r="J7" s="13">
        <f t="shared" si="5"/>
        <v>0.12012730744748579</v>
      </c>
      <c r="L7" s="25">
        <f t="shared" si="6"/>
        <v>4</v>
      </c>
      <c r="M7" s="26">
        <f t="shared" si="7"/>
        <v>43189</v>
      </c>
      <c r="N7" s="27">
        <v>2.6881451881451959</v>
      </c>
      <c r="O7" s="13">
        <f t="shared" si="8"/>
        <v>-2.8956487505897828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12895.64</v>
      </c>
      <c r="E8" s="13">
        <f t="shared" si="2"/>
        <v>0.53690779249258691</v>
      </c>
      <c r="G8" s="25">
        <f t="shared" si="3"/>
        <v>5</v>
      </c>
      <c r="H8" s="26">
        <f t="shared" si="4"/>
        <v>43554</v>
      </c>
      <c r="I8" s="27">
        <v>1619.94</v>
      </c>
      <c r="J8" s="13">
        <f t="shared" si="5"/>
        <v>0.8411338167435729</v>
      </c>
      <c r="L8" s="25">
        <f t="shared" si="6"/>
        <v>5</v>
      </c>
      <c r="M8" s="26">
        <f t="shared" si="7"/>
        <v>43554</v>
      </c>
      <c r="N8" s="27">
        <v>9.1751581751581668</v>
      </c>
      <c r="O8" s="13">
        <f t="shared" si="8"/>
        <v>2.4131929389903868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8901.07</v>
      </c>
      <c r="E9" s="13">
        <f t="shared" si="2"/>
        <v>-0.30976128365866296</v>
      </c>
      <c r="G9" s="25">
        <f t="shared" si="3"/>
        <v>6</v>
      </c>
      <c r="H9" s="26">
        <f t="shared" si="4"/>
        <v>43919</v>
      </c>
      <c r="I9" s="27">
        <v>1162.4000000000001</v>
      </c>
      <c r="J9" s="13">
        <f t="shared" si="5"/>
        <v>-0.28244255960097286</v>
      </c>
      <c r="L9" s="25">
        <f t="shared" si="6"/>
        <v>6</v>
      </c>
      <c r="M9" s="26">
        <f t="shared" si="7"/>
        <v>43919</v>
      </c>
      <c r="N9" s="27">
        <v>4.1121679239094719</v>
      </c>
      <c r="O9" s="13">
        <f t="shared" si="8"/>
        <v>-0.55181503736434667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7949.42</v>
      </c>
      <c r="E10" s="13">
        <f t="shared" si="2"/>
        <v>-0.10691411257298278</v>
      </c>
      <c r="G10" s="25">
        <f t="shared" si="3"/>
        <v>7</v>
      </c>
      <c r="H10" s="26">
        <f t="shared" si="4"/>
        <v>44284</v>
      </c>
      <c r="I10" s="27">
        <v>1008.95</v>
      </c>
      <c r="J10" s="13">
        <f t="shared" si="5"/>
        <v>-0.13201135581555401</v>
      </c>
      <c r="L10" s="25">
        <f t="shared" si="6"/>
        <v>7</v>
      </c>
      <c r="M10" s="26">
        <f t="shared" si="7"/>
        <v>44284</v>
      </c>
      <c r="N10" s="27">
        <v>2.9262053132174421</v>
      </c>
      <c r="O10" s="13">
        <f t="shared" si="8"/>
        <v>-0.28840325410751355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11137.96</v>
      </c>
      <c r="E11" s="13">
        <f t="shared" si="2"/>
        <v>0.40110347673163571</v>
      </c>
      <c r="G11" s="25">
        <f t="shared" si="3"/>
        <v>8</v>
      </c>
      <c r="H11" s="26">
        <f t="shared" si="4"/>
        <v>44649</v>
      </c>
      <c r="I11" s="27">
        <v>1287.8700000000001</v>
      </c>
      <c r="J11" s="13">
        <f t="shared" si="5"/>
        <v>0.27644581000049562</v>
      </c>
      <c r="L11" s="25">
        <f t="shared" si="6"/>
        <v>8</v>
      </c>
      <c r="M11" s="26">
        <f t="shared" si="7"/>
        <v>44649</v>
      </c>
      <c r="N11" s="27">
        <v>3.6456215152509026</v>
      </c>
      <c r="O11" s="13">
        <f t="shared" si="8"/>
        <v>0.24585294776956124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15553.41</v>
      </c>
      <c r="E12" s="13">
        <f t="shared" si="2"/>
        <v>0.39643256036114338</v>
      </c>
      <c r="G12" s="25">
        <f t="shared" si="3"/>
        <v>9</v>
      </c>
      <c r="H12" s="26">
        <f t="shared" si="4"/>
        <v>45014</v>
      </c>
      <c r="I12" s="27">
        <v>1565.67</v>
      </c>
      <c r="J12" s="13">
        <f t="shared" si="5"/>
        <v>0.21570500128118519</v>
      </c>
      <c r="L12" s="25">
        <f t="shared" si="6"/>
        <v>9</v>
      </c>
      <c r="M12" s="26">
        <f t="shared" si="7"/>
        <v>45014</v>
      </c>
      <c r="N12" s="27">
        <v>8.0044600191143598</v>
      </c>
      <c r="O12" s="13">
        <f t="shared" si="8"/>
        <v>1.1956365973892025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20844.96</v>
      </c>
      <c r="E13" s="13">
        <f t="shared" si="2"/>
        <v>0.34021799721090096</v>
      </c>
      <c r="G13" s="25">
        <f t="shared" si="3"/>
        <v>10</v>
      </c>
      <c r="H13" s="26">
        <f t="shared" si="4"/>
        <v>45379</v>
      </c>
      <c r="I13" s="27">
        <v>1837.8600000000001</v>
      </c>
      <c r="J13" s="13">
        <f t="shared" si="5"/>
        <v>0.17384889536109149</v>
      </c>
      <c r="L13" s="25">
        <f t="shared" si="6"/>
        <v>10</v>
      </c>
      <c r="M13" s="26">
        <f t="shared" si="7"/>
        <v>45379</v>
      </c>
      <c r="N13" s="27">
        <v>10.22156737814592</v>
      </c>
      <c r="O13" s="13">
        <f t="shared" si="8"/>
        <v>0.27698400063679363</v>
      </c>
    </row>
    <row r="14" spans="2:15" x14ac:dyDescent="0.25">
      <c r="B14" s="59">
        <f t="shared" si="0"/>
        <v>11</v>
      </c>
      <c r="C14" s="60">
        <f t="shared" si="1"/>
        <v>45744</v>
      </c>
      <c r="D14" s="61">
        <f>FORECAST(B14,$D$4:$D$13,$B$4:$B$13)</f>
        <v>16356.063333333332</v>
      </c>
      <c r="E14" s="62">
        <f t="shared" si="2"/>
        <v>-0.2153468592248039</v>
      </c>
      <c r="G14" s="59">
        <f t="shared" si="3"/>
        <v>11</v>
      </c>
      <c r="H14" s="60">
        <f t="shared" si="4"/>
        <v>45744</v>
      </c>
      <c r="I14" s="61">
        <f>FORECAST(G14,$I$4:$I$13,$G$4:$G$13)</f>
        <v>1642.8506666666667</v>
      </c>
      <c r="J14" s="62">
        <f t="shared" si="5"/>
        <v>-0.10610674008538923</v>
      </c>
      <c r="L14" s="59">
        <f t="shared" si="6"/>
        <v>11</v>
      </c>
      <c r="M14" s="60">
        <f t="shared" si="7"/>
        <v>45744</v>
      </c>
      <c r="N14" s="61">
        <f>FORECAST(L14,$N$4:$N$13,$L$4:$L$13)</f>
        <v>9.7784766787472392</v>
      </c>
      <c r="O14" s="62">
        <f t="shared" si="8"/>
        <v>-4.3348606236850218E-2</v>
      </c>
    </row>
    <row r="15" spans="2:15" x14ac:dyDescent="0.25">
      <c r="B15" s="59">
        <f t="shared" si="0"/>
        <v>12</v>
      </c>
      <c r="C15" s="60">
        <f t="shared" si="1"/>
        <v>46109</v>
      </c>
      <c r="D15" s="61">
        <f t="shared" ref="D15:D18" si="9">FORECAST(B15,$D$4:$D$13,$B$4:$B$13)</f>
        <v>17262.369212121212</v>
      </c>
      <c r="E15" s="62">
        <f t="shared" si="2"/>
        <v>5.5411003266345071E-2</v>
      </c>
      <c r="G15" s="59">
        <f t="shared" si="3"/>
        <v>12</v>
      </c>
      <c r="H15" s="60">
        <f t="shared" si="4"/>
        <v>46109</v>
      </c>
      <c r="I15" s="61">
        <f t="shared" ref="I15:I18" si="10">FORECAST(G15,$I$4:$I$13,$G$4:$G$13)</f>
        <v>1716.7540606060606</v>
      </c>
      <c r="J15" s="62">
        <f t="shared" si="5"/>
        <v>4.4984851903395073E-2</v>
      </c>
      <c r="L15" s="59">
        <f t="shared" si="6"/>
        <v>12</v>
      </c>
      <c r="M15" s="60">
        <f t="shared" si="7"/>
        <v>46109</v>
      </c>
      <c r="N15" s="61">
        <f t="shared" ref="N15:N18" si="11">FORECAST(L15,$N$4:$N$13,$L$4:$L$13)</f>
        <v>10.858774319085159</v>
      </c>
      <c r="O15" s="62">
        <f t="shared" si="8"/>
        <v>0.11047708920611976</v>
      </c>
    </row>
    <row r="16" spans="2:15" x14ac:dyDescent="0.25">
      <c r="B16" s="59">
        <f t="shared" si="0"/>
        <v>13</v>
      </c>
      <c r="C16" s="60">
        <f t="shared" si="1"/>
        <v>46474</v>
      </c>
      <c r="D16" s="61">
        <f t="shared" si="9"/>
        <v>18168.675090909092</v>
      </c>
      <c r="E16" s="62">
        <f t="shared" si="2"/>
        <v>5.2501824497618532E-2</v>
      </c>
      <c r="G16" s="59">
        <f t="shared" si="3"/>
        <v>13</v>
      </c>
      <c r="H16" s="60">
        <f t="shared" si="4"/>
        <v>46474</v>
      </c>
      <c r="I16" s="61">
        <f t="shared" si="10"/>
        <v>1790.6574545454546</v>
      </c>
      <c r="J16" s="62">
        <f t="shared" si="5"/>
        <v>4.3048329190090273E-2</v>
      </c>
      <c r="L16" s="59">
        <f t="shared" si="6"/>
        <v>13</v>
      </c>
      <c r="M16" s="60">
        <f t="shared" si="7"/>
        <v>46474</v>
      </c>
      <c r="N16" s="61">
        <f t="shared" si="11"/>
        <v>11.939071959423078</v>
      </c>
      <c r="O16" s="62">
        <f t="shared" si="8"/>
        <v>9.9486149043470862E-2</v>
      </c>
    </row>
    <row r="17" spans="2:15" x14ac:dyDescent="0.25">
      <c r="B17" s="59">
        <f t="shared" si="0"/>
        <v>14</v>
      </c>
      <c r="C17" s="60">
        <f t="shared" si="1"/>
        <v>46839</v>
      </c>
      <c r="D17" s="61">
        <f t="shared" si="9"/>
        <v>19074.980969696968</v>
      </c>
      <c r="E17" s="62">
        <f t="shared" si="2"/>
        <v>4.9882882172369136E-2</v>
      </c>
      <c r="G17" s="59">
        <f t="shared" si="3"/>
        <v>14</v>
      </c>
      <c r="H17" s="60">
        <f t="shared" si="4"/>
        <v>46839</v>
      </c>
      <c r="I17" s="61">
        <f t="shared" si="10"/>
        <v>1864.5608484848487</v>
      </c>
      <c r="J17" s="62">
        <f t="shared" si="5"/>
        <v>4.1271653465488667E-2</v>
      </c>
      <c r="L17" s="59">
        <f t="shared" si="6"/>
        <v>14</v>
      </c>
      <c r="M17" s="60">
        <f t="shared" si="7"/>
        <v>46839</v>
      </c>
      <c r="N17" s="61">
        <f t="shared" si="11"/>
        <v>13.019369599760999</v>
      </c>
      <c r="O17" s="62">
        <f t="shared" si="8"/>
        <v>9.0484222225101885E-2</v>
      </c>
    </row>
    <row r="18" spans="2:15" x14ac:dyDescent="0.25">
      <c r="B18" s="59">
        <f t="shared" si="0"/>
        <v>15</v>
      </c>
      <c r="C18" s="60">
        <f t="shared" si="1"/>
        <v>47204</v>
      </c>
      <c r="D18" s="61">
        <f t="shared" si="9"/>
        <v>19981.286848484848</v>
      </c>
      <c r="E18" s="62">
        <f t="shared" si="2"/>
        <v>4.7512806446709632E-2</v>
      </c>
      <c r="G18" s="59">
        <f t="shared" si="3"/>
        <v>15</v>
      </c>
      <c r="H18" s="60">
        <f t="shared" si="4"/>
        <v>47204</v>
      </c>
      <c r="I18" s="61">
        <f t="shared" si="10"/>
        <v>1938.4642424242427</v>
      </c>
      <c r="J18" s="62">
        <f t="shared" si="5"/>
        <v>3.9635817731262568E-2</v>
      </c>
      <c r="L18" s="59">
        <f t="shared" si="6"/>
        <v>15</v>
      </c>
      <c r="M18" s="60">
        <f t="shared" si="7"/>
        <v>47204</v>
      </c>
      <c r="N18" s="61">
        <f t="shared" si="11"/>
        <v>14.099667240098917</v>
      </c>
      <c r="O18" s="62">
        <f t="shared" si="8"/>
        <v>8.2976186524249984E-2</v>
      </c>
    </row>
    <row r="19" spans="2:15" x14ac:dyDescent="0.25">
      <c r="B19" s="59">
        <f t="shared" si="0"/>
        <v>16</v>
      </c>
      <c r="C19" s="60">
        <f t="shared" si="1"/>
        <v>47569</v>
      </c>
      <c r="D19" s="61">
        <f t="shared" ref="D19:D24" si="12">FORECAST(B19,$D$4:$D$13,$B$4:$B$13)</f>
        <v>20887.592727272728</v>
      </c>
      <c r="E19" s="62">
        <f t="shared" ref="E19:E24" si="13">D19/D18-1</f>
        <v>4.535773324612502E-2</v>
      </c>
      <c r="G19" s="59">
        <f t="shared" si="3"/>
        <v>16</v>
      </c>
      <c r="H19" s="60">
        <f t="shared" si="4"/>
        <v>47569</v>
      </c>
      <c r="I19" s="61">
        <f t="shared" ref="I19:I24" si="14">FORECAST(G19,$I$4:$I$13,$G$4:$G$13)</f>
        <v>2012.3676363636366</v>
      </c>
      <c r="J19" s="62">
        <f t="shared" ref="J19:J24" si="15">I19/I18-1</f>
        <v>3.8124713534550603E-2</v>
      </c>
      <c r="L19" s="59">
        <f t="shared" si="6"/>
        <v>16</v>
      </c>
      <c r="M19" s="60">
        <f t="shared" si="7"/>
        <v>47569</v>
      </c>
      <c r="N19" s="61">
        <f t="shared" ref="N19:N24" si="16">FORECAST(L19,$N$4:$N$13,$L$4:$L$13)</f>
        <v>15.179964880436838</v>
      </c>
      <c r="O19" s="62">
        <f t="shared" ref="O19:O24" si="17">N19/N18-1</f>
        <v>7.6618662124563919E-2</v>
      </c>
    </row>
    <row r="20" spans="2:15" x14ac:dyDescent="0.25">
      <c r="B20" s="59">
        <f t="shared" si="0"/>
        <v>17</v>
      </c>
      <c r="C20" s="60">
        <f t="shared" si="1"/>
        <v>47934</v>
      </c>
      <c r="D20" s="61">
        <f t="shared" si="12"/>
        <v>21793.898606060604</v>
      </c>
      <c r="E20" s="62">
        <f t="shared" si="13"/>
        <v>4.3389675900972646E-2</v>
      </c>
      <c r="G20" s="59">
        <f t="shared" si="3"/>
        <v>17</v>
      </c>
      <c r="H20" s="60">
        <f t="shared" si="4"/>
        <v>47934</v>
      </c>
      <c r="I20" s="61">
        <f t="shared" si="14"/>
        <v>2086.2710303030308</v>
      </c>
      <c r="J20" s="62">
        <f t="shared" si="15"/>
        <v>3.6724598728360647E-2</v>
      </c>
      <c r="L20" s="59">
        <f t="shared" si="6"/>
        <v>17</v>
      </c>
      <c r="M20" s="60">
        <f t="shared" si="7"/>
        <v>47934</v>
      </c>
      <c r="N20" s="61">
        <f t="shared" si="16"/>
        <v>16.260262520774759</v>
      </c>
      <c r="O20" s="62">
        <f t="shared" si="17"/>
        <v>7.1166017105227519E-2</v>
      </c>
    </row>
    <row r="21" spans="2:15" x14ac:dyDescent="0.25">
      <c r="B21" s="59">
        <f t="shared" si="0"/>
        <v>18</v>
      </c>
      <c r="C21" s="60">
        <f t="shared" si="1"/>
        <v>48299</v>
      </c>
      <c r="D21" s="61">
        <f t="shared" si="12"/>
        <v>22700.204484848484</v>
      </c>
      <c r="E21" s="62">
        <f t="shared" si="13"/>
        <v>4.1585303078167435E-2</v>
      </c>
      <c r="G21" s="59">
        <f t="shared" si="3"/>
        <v>18</v>
      </c>
      <c r="H21" s="60">
        <f t="shared" si="4"/>
        <v>48299</v>
      </c>
      <c r="I21" s="61">
        <f t="shared" si="14"/>
        <v>2160.1744242424247</v>
      </c>
      <c r="J21" s="62">
        <f t="shared" si="15"/>
        <v>3.5423678355280375E-2</v>
      </c>
      <c r="L21" s="59">
        <f t="shared" si="6"/>
        <v>18</v>
      </c>
      <c r="M21" s="60">
        <f t="shared" si="7"/>
        <v>48299</v>
      </c>
      <c r="N21" s="61">
        <f t="shared" si="16"/>
        <v>17.340560161112677</v>
      </c>
      <c r="O21" s="62">
        <f t="shared" si="17"/>
        <v>6.6437896618070313E-2</v>
      </c>
    </row>
    <row r="22" spans="2:15" x14ac:dyDescent="0.25">
      <c r="B22" s="59">
        <f t="shared" si="0"/>
        <v>19</v>
      </c>
      <c r="C22" s="60">
        <f t="shared" si="1"/>
        <v>48664</v>
      </c>
      <c r="D22" s="61">
        <f t="shared" si="12"/>
        <v>23606.51036363636</v>
      </c>
      <c r="E22" s="62">
        <f t="shared" si="13"/>
        <v>3.9925009459399474E-2</v>
      </c>
      <c r="G22" s="59">
        <f t="shared" si="3"/>
        <v>19</v>
      </c>
      <c r="H22" s="60">
        <f t="shared" si="4"/>
        <v>48664</v>
      </c>
      <c r="I22" s="61">
        <f t="shared" si="14"/>
        <v>2234.0778181818187</v>
      </c>
      <c r="J22" s="62">
        <f t="shared" si="15"/>
        <v>3.4211771563452231E-2</v>
      </c>
      <c r="L22" s="59">
        <f t="shared" si="6"/>
        <v>19</v>
      </c>
      <c r="M22" s="60">
        <f t="shared" si="7"/>
        <v>48664</v>
      </c>
      <c r="N22" s="61">
        <f t="shared" si="16"/>
        <v>18.420857801450598</v>
      </c>
      <c r="O22" s="62">
        <f t="shared" si="17"/>
        <v>6.2298889441908534E-2</v>
      </c>
    </row>
    <row r="23" spans="2:15" x14ac:dyDescent="0.25">
      <c r="B23" s="59">
        <f t="shared" si="0"/>
        <v>20</v>
      </c>
      <c r="C23" s="60">
        <f t="shared" si="1"/>
        <v>49029</v>
      </c>
      <c r="D23" s="61">
        <f t="shared" si="12"/>
        <v>24512.81624242424</v>
      </c>
      <c r="E23" s="62">
        <f t="shared" si="13"/>
        <v>3.8392200491605077E-2</v>
      </c>
      <c r="G23" s="59">
        <f t="shared" si="3"/>
        <v>20</v>
      </c>
      <c r="H23" s="60">
        <f t="shared" si="4"/>
        <v>49029</v>
      </c>
      <c r="I23" s="61">
        <f t="shared" si="14"/>
        <v>2307.9812121212126</v>
      </c>
      <c r="J23" s="62">
        <f t="shared" si="15"/>
        <v>3.308004463315406E-2</v>
      </c>
      <c r="L23" s="59">
        <f t="shared" si="6"/>
        <v>20</v>
      </c>
      <c r="M23" s="60">
        <f t="shared" si="7"/>
        <v>49029</v>
      </c>
      <c r="N23" s="61">
        <f t="shared" si="16"/>
        <v>19.501155441788516</v>
      </c>
      <c r="O23" s="62">
        <f t="shared" si="17"/>
        <v>5.864534930902332E-2</v>
      </c>
    </row>
    <row r="24" spans="2:15" x14ac:dyDescent="0.25">
      <c r="B24" s="59">
        <f t="shared" si="0"/>
        <v>21</v>
      </c>
      <c r="C24" s="60">
        <f t="shared" si="1"/>
        <v>49394</v>
      </c>
      <c r="D24" s="61">
        <f t="shared" si="12"/>
        <v>25419.12212121212</v>
      </c>
      <c r="E24" s="62">
        <f t="shared" si="13"/>
        <v>3.6972735805824719E-2</v>
      </c>
      <c r="G24" s="59">
        <f t="shared" si="3"/>
        <v>21</v>
      </c>
      <c r="H24" s="60">
        <f t="shared" si="4"/>
        <v>49394</v>
      </c>
      <c r="I24" s="61">
        <f t="shared" si="14"/>
        <v>2381.8846060606065</v>
      </c>
      <c r="J24" s="62">
        <f t="shared" si="15"/>
        <v>3.2020795295586879E-2</v>
      </c>
      <c r="L24" s="59">
        <f t="shared" si="6"/>
        <v>21</v>
      </c>
      <c r="M24" s="60">
        <f t="shared" si="7"/>
        <v>49394</v>
      </c>
      <c r="N24" s="61">
        <f t="shared" si="16"/>
        <v>20.581453082126437</v>
      </c>
      <c r="O24" s="62">
        <f t="shared" si="17"/>
        <v>5.5396596553606292E-2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85" activePane="bottomRight" state="frozen"/>
      <selection activeCell="C4" sqref="C4"/>
      <selection pane="topRight" activeCell="C4" sqref="C4"/>
      <selection pane="bottomLeft" activeCell="C4" sqref="C4"/>
      <selection pane="bottomRight" activeCell="B1" sqref="B1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116" t="str">
        <f>IF(B2&lt;&gt;B3, "A NEW VERSION OF THE WORKSHEET IS AVAILABLE", "")</f>
        <v/>
      </c>
      <c r="F1" s="116"/>
      <c r="G1" s="116"/>
      <c r="H1" s="116"/>
      <c r="I1" s="116"/>
      <c r="J1" s="116"/>
      <c r="K1" s="116"/>
    </row>
    <row r="2" spans="1:11" x14ac:dyDescent="0.2">
      <c r="A2" s="1" t="s">
        <v>1</v>
      </c>
      <c r="B2" s="2">
        <v>2.1</v>
      </c>
      <c r="E2" s="117" t="s">
        <v>2</v>
      </c>
      <c r="F2" s="117"/>
      <c r="G2" s="117"/>
      <c r="H2" s="117"/>
      <c r="I2" s="117"/>
      <c r="J2" s="117"/>
      <c r="K2" s="117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62.814968410821322</v>
      </c>
    </row>
    <row r="7" spans="1:11" x14ac:dyDescent="0.2">
      <c r="A7" s="2" t="s">
        <v>6</v>
      </c>
      <c r="B7" s="3">
        <v>2</v>
      </c>
    </row>
    <row r="8" spans="1:11" x14ac:dyDescent="0.2">
      <c r="A8" s="2" t="s">
        <v>7</v>
      </c>
      <c r="B8" s="3">
        <v>308.64999999999998</v>
      </c>
    </row>
    <row r="9" spans="1:11" x14ac:dyDescent="0.2">
      <c r="A9" s="2" t="s">
        <v>8</v>
      </c>
      <c r="B9" s="3">
        <v>19387.84</v>
      </c>
    </row>
    <row r="15" spans="1:11" x14ac:dyDescent="0.2">
      <c r="A15" s="1" t="s">
        <v>9</v>
      </c>
      <c r="B15" s="2">
        <f>B26+B34</f>
        <v>1395.37</v>
      </c>
      <c r="K15" s="2">
        <f>K17-K18-K20-K21-K22-K23-K19</f>
        <v>1770.2899999999988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9512.89</v>
      </c>
      <c r="C17" s="3">
        <v>9527.25</v>
      </c>
      <c r="D17" s="3">
        <v>9000.57</v>
      </c>
      <c r="E17" s="3">
        <v>8390.64</v>
      </c>
      <c r="F17" s="3">
        <v>12895.64</v>
      </c>
      <c r="G17" s="3">
        <v>8901.07</v>
      </c>
      <c r="H17" s="3">
        <v>7949.42</v>
      </c>
      <c r="I17" s="3">
        <v>11137.96</v>
      </c>
      <c r="J17" s="3">
        <v>15553.41</v>
      </c>
      <c r="K17" s="3">
        <v>20844.96</v>
      </c>
    </row>
    <row r="18" spans="1:11" ht="17.25" x14ac:dyDescent="0.35">
      <c r="A18" s="2" t="s">
        <v>12</v>
      </c>
      <c r="B18" s="7">
        <v>4836.32</v>
      </c>
      <c r="C18" s="7">
        <v>4149.99</v>
      </c>
      <c r="D18" s="7">
        <v>3280.12</v>
      </c>
      <c r="E18" s="7">
        <v>3162.22</v>
      </c>
      <c r="F18" s="7">
        <v>4875.1000000000004</v>
      </c>
      <c r="G18" s="7">
        <v>3032.17</v>
      </c>
      <c r="H18" s="7">
        <v>2426.56</v>
      </c>
      <c r="I18" s="7">
        <v>3484.62</v>
      </c>
      <c r="J18" s="7">
        <v>4855.1099999999997</v>
      </c>
      <c r="K18" s="7">
        <v>7449.54</v>
      </c>
    </row>
    <row r="19" spans="1:11" ht="17.25" x14ac:dyDescent="0.35">
      <c r="A19" s="2" t="s">
        <v>13</v>
      </c>
      <c r="B19" s="7">
        <v>228.34</v>
      </c>
      <c r="C19" s="7">
        <v>201.77</v>
      </c>
      <c r="D19" s="7">
        <v>-145.79</v>
      </c>
      <c r="E19" s="7">
        <v>107.02</v>
      </c>
      <c r="F19" s="7">
        <v>-155.22999999999999</v>
      </c>
      <c r="G19" s="7">
        <v>-30.42</v>
      </c>
      <c r="H19" s="7">
        <v>-48.9</v>
      </c>
      <c r="I19" s="7">
        <v>-105.49</v>
      </c>
      <c r="J19" s="7">
        <v>-69.349999999999994</v>
      </c>
      <c r="K19" s="7">
        <v>23.54</v>
      </c>
    </row>
    <row r="20" spans="1:11" x14ac:dyDescent="0.2">
      <c r="A20" s="2" t="s">
        <v>14</v>
      </c>
      <c r="B20" s="3">
        <v>7.66</v>
      </c>
      <c r="C20" s="3">
        <v>10.33</v>
      </c>
      <c r="D20" s="3">
        <v>14.68</v>
      </c>
      <c r="E20" s="3">
        <v>11.13</v>
      </c>
      <c r="F20" s="3">
        <v>9.18</v>
      </c>
      <c r="G20" s="3">
        <v>9.19</v>
      </c>
      <c r="H20" s="3">
        <v>9.2799999999999994</v>
      </c>
      <c r="I20" s="3">
        <v>8.75</v>
      </c>
      <c r="J20" s="3">
        <v>10.79</v>
      </c>
      <c r="K20" s="3">
        <v>12.1</v>
      </c>
    </row>
    <row r="21" spans="1:11" x14ac:dyDescent="0.2">
      <c r="A21" s="2" t="s">
        <v>15</v>
      </c>
      <c r="B21" s="3">
        <v>3231.79</v>
      </c>
      <c r="C21" s="3">
        <v>3810.34</v>
      </c>
      <c r="D21" s="3">
        <v>4129.49</v>
      </c>
      <c r="E21" s="3">
        <v>3745.12</v>
      </c>
      <c r="F21" s="3">
        <v>5498.53</v>
      </c>
      <c r="G21" s="3">
        <v>4009.55</v>
      </c>
      <c r="H21" s="3">
        <v>3988.53</v>
      </c>
      <c r="I21" s="3">
        <v>5850.12</v>
      </c>
      <c r="J21" s="3">
        <v>8337.5</v>
      </c>
      <c r="K21" s="3">
        <v>10711.63</v>
      </c>
    </row>
    <row r="22" spans="1:11" x14ac:dyDescent="0.2">
      <c r="A22" s="2" t="s">
        <v>16</v>
      </c>
      <c r="B22" s="3">
        <v>396.59</v>
      </c>
      <c r="C22" s="3">
        <v>470.77</v>
      </c>
      <c r="D22" s="3">
        <v>459.54</v>
      </c>
      <c r="E22" s="3">
        <v>453.67</v>
      </c>
      <c r="F22" s="3">
        <v>495.46</v>
      </c>
      <c r="G22" s="3">
        <v>484.21</v>
      </c>
      <c r="H22" s="3">
        <v>381.04</v>
      </c>
      <c r="I22" s="3">
        <v>453.07</v>
      </c>
      <c r="J22" s="3">
        <v>546.1</v>
      </c>
      <c r="K22" s="3">
        <v>667.78</v>
      </c>
    </row>
    <row r="23" spans="1:11" x14ac:dyDescent="0.2">
      <c r="A23" s="2" t="s">
        <v>17</v>
      </c>
      <c r="B23" s="3">
        <v>171.35</v>
      </c>
      <c r="C23" s="3">
        <v>176.51</v>
      </c>
      <c r="D23" s="3">
        <v>176.61</v>
      </c>
      <c r="E23" s="3">
        <v>158.5</v>
      </c>
      <c r="F23" s="3">
        <v>161.12</v>
      </c>
      <c r="G23" s="3">
        <v>151.71</v>
      </c>
      <c r="H23" s="3">
        <v>119.41</v>
      </c>
      <c r="I23" s="3">
        <v>153.59</v>
      </c>
      <c r="J23" s="3">
        <v>191.33</v>
      </c>
      <c r="K23" s="3">
        <v>210.08</v>
      </c>
    </row>
    <row r="24" spans="1:11" x14ac:dyDescent="0.2">
      <c r="A24" s="2" t="s">
        <v>18</v>
      </c>
      <c r="B24" s="3">
        <v>97.82</v>
      </c>
      <c r="C24" s="3">
        <v>124.17</v>
      </c>
      <c r="D24" s="3">
        <v>119.35</v>
      </c>
      <c r="E24" s="3">
        <v>94.34</v>
      </c>
      <c r="F24" s="3">
        <v>108.71</v>
      </c>
      <c r="G24" s="3">
        <v>107.19</v>
      </c>
      <c r="H24" s="3">
        <v>56.62</v>
      </c>
      <c r="I24" s="3">
        <v>54.55</v>
      </c>
      <c r="J24" s="3">
        <v>84.24</v>
      </c>
      <c r="K24" s="3">
        <v>48.49</v>
      </c>
    </row>
    <row r="25" spans="1:11" x14ac:dyDescent="0.2">
      <c r="A25" s="2" t="s">
        <v>19</v>
      </c>
      <c r="B25" s="3">
        <v>126.7</v>
      </c>
      <c r="C25" s="3">
        <v>71.260000000000005</v>
      </c>
      <c r="D25" s="3">
        <v>87.23</v>
      </c>
      <c r="E25" s="3">
        <v>-22.72</v>
      </c>
      <c r="F25" s="3">
        <v>16.510000000000002</v>
      </c>
      <c r="G25" s="3">
        <v>63.35</v>
      </c>
      <c r="H25" s="3">
        <v>104.6</v>
      </c>
      <c r="I25" s="3">
        <v>271.72000000000003</v>
      </c>
      <c r="J25" s="3">
        <v>143.69</v>
      </c>
      <c r="K25" s="3">
        <v>98.7</v>
      </c>
    </row>
    <row r="26" spans="1:11" x14ac:dyDescent="0.2">
      <c r="A26" s="2" t="s">
        <v>20</v>
      </c>
      <c r="B26" s="3">
        <v>276.58999999999997</v>
      </c>
      <c r="C26" s="3">
        <v>248.25</v>
      </c>
      <c r="D26" s="3">
        <v>202.55</v>
      </c>
      <c r="E26" s="3">
        <v>171.51</v>
      </c>
      <c r="F26" s="3">
        <v>192.53</v>
      </c>
      <c r="G26" s="3">
        <v>199.22</v>
      </c>
      <c r="H26" s="3">
        <v>181.25</v>
      </c>
      <c r="I26" s="3">
        <v>186.74</v>
      </c>
      <c r="J26" s="3">
        <v>202.61</v>
      </c>
      <c r="K26" s="3">
        <v>211.92</v>
      </c>
    </row>
    <row r="27" spans="1:11" ht="17.25" x14ac:dyDescent="0.35">
      <c r="A27" s="2" t="s">
        <v>21</v>
      </c>
      <c r="B27" s="3">
        <v>737.12</v>
      </c>
      <c r="C27" s="3">
        <v>642.58000000000004</v>
      </c>
      <c r="D27" s="3">
        <v>513.34</v>
      </c>
      <c r="E27" s="3">
        <v>459.56</v>
      </c>
      <c r="F27" s="3">
        <v>521.95000000000005</v>
      </c>
      <c r="G27" s="3">
        <v>553.85</v>
      </c>
      <c r="H27" s="3">
        <v>479.91</v>
      </c>
      <c r="I27" s="3">
        <v>478.07</v>
      </c>
      <c r="J27" s="7">
        <v>515.22</v>
      </c>
      <c r="K27" s="7">
        <v>594.75</v>
      </c>
    </row>
    <row r="28" spans="1:11" x14ac:dyDescent="0.2">
      <c r="A28" s="2" t="s">
        <v>22</v>
      </c>
      <c r="B28" s="3">
        <v>112.69</v>
      </c>
      <c r="C28" s="3">
        <v>167.34</v>
      </c>
      <c r="D28" s="3">
        <v>46.33</v>
      </c>
      <c r="E28" s="3">
        <v>218.89</v>
      </c>
      <c r="F28" s="3">
        <v>894.34</v>
      </c>
      <c r="G28" s="3">
        <v>386.91</v>
      </c>
      <c r="H28" s="3">
        <v>362.52</v>
      </c>
      <c r="I28" s="3">
        <v>634.67999999999995</v>
      </c>
      <c r="J28" s="3">
        <v>884.85</v>
      </c>
      <c r="K28" s="3">
        <v>1060.9100000000001</v>
      </c>
    </row>
    <row r="29" spans="1:11" x14ac:dyDescent="0.2">
      <c r="A29" s="2" t="s">
        <v>23</v>
      </c>
      <c r="B29" s="3">
        <v>51.2</v>
      </c>
      <c r="C29" s="3">
        <v>85.73</v>
      </c>
      <c r="D29" s="3">
        <v>37.93</v>
      </c>
      <c r="E29" s="3">
        <v>80.16</v>
      </c>
      <c r="F29" s="3">
        <v>326.77</v>
      </c>
      <c r="G29" s="3">
        <v>72.8</v>
      </c>
      <c r="H29" s="3">
        <v>79.48</v>
      </c>
      <c r="I29" s="3">
        <v>140.65</v>
      </c>
      <c r="J29" s="3">
        <v>238.64</v>
      </c>
      <c r="K29" s="3">
        <v>320.5</v>
      </c>
    </row>
    <row r="30" spans="1:11" x14ac:dyDescent="0.2">
      <c r="A30" s="2" t="s">
        <v>24</v>
      </c>
      <c r="B30" s="3">
        <v>53.87</v>
      </c>
      <c r="C30" s="3">
        <v>120.43</v>
      </c>
      <c r="D30" s="3">
        <v>31.68</v>
      </c>
      <c r="E30" s="3">
        <v>168.63</v>
      </c>
      <c r="F30" s="3">
        <v>578.69000000000005</v>
      </c>
      <c r="G30" s="3">
        <v>336.53</v>
      </c>
      <c r="H30" s="3">
        <v>268.31</v>
      </c>
      <c r="I30" s="3">
        <v>482.41</v>
      </c>
      <c r="J30" s="3">
        <v>609.20000000000005</v>
      </c>
      <c r="K30" s="3">
        <v>710.69</v>
      </c>
    </row>
    <row r="31" spans="1:11" x14ac:dyDescent="0.2">
      <c r="A31" s="2" t="s">
        <v>25</v>
      </c>
      <c r="B31" s="3">
        <v>22.24</v>
      </c>
      <c r="C31" s="3">
        <v>33.36</v>
      </c>
      <c r="D31" s="3">
        <v>22.24</v>
      </c>
      <c r="E31" s="3">
        <v>60.06</v>
      </c>
      <c r="F31" s="3">
        <v>90.1</v>
      </c>
      <c r="G31" s="3">
        <v>12.2</v>
      </c>
      <c r="H31" s="3">
        <v>48.79</v>
      </c>
      <c r="I31" s="3">
        <v>121.97</v>
      </c>
      <c r="J31" s="3">
        <v>138.13</v>
      </c>
      <c r="K31" s="3">
        <v>138.13</v>
      </c>
    </row>
    <row r="32" spans="1:11" x14ac:dyDescent="0.2">
      <c r="A32" s="2" t="s">
        <v>26</v>
      </c>
      <c r="B32" s="8">
        <f>B29/B28</f>
        <v>0.454343774957849</v>
      </c>
      <c r="C32" s="8">
        <f t="shared" ref="C32:K32" si="0">C29/C28</f>
        <v>0.51231026652324607</v>
      </c>
      <c r="D32" s="8">
        <f t="shared" si="0"/>
        <v>0.81869199222965683</v>
      </c>
      <c r="E32" s="8">
        <f t="shared" si="0"/>
        <v>0.36621133902873593</v>
      </c>
      <c r="F32" s="8">
        <f t="shared" si="0"/>
        <v>0.36537558422971128</v>
      </c>
      <c r="G32" s="8">
        <f t="shared" si="0"/>
        <v>0.18815745263756428</v>
      </c>
      <c r="H32" s="8">
        <f t="shared" si="0"/>
        <v>0.2192430762440693</v>
      </c>
      <c r="I32" s="8">
        <f t="shared" si="0"/>
        <v>0.22160773933320732</v>
      </c>
      <c r="J32" s="8">
        <f t="shared" si="0"/>
        <v>0.26969542860371815</v>
      </c>
      <c r="K32" s="8">
        <f t="shared" si="0"/>
        <v>0.3020991413032208</v>
      </c>
    </row>
    <row r="34" spans="1:11" x14ac:dyDescent="0.2">
      <c r="A34" s="2" t="s">
        <v>27</v>
      </c>
      <c r="B34" s="2">
        <f>+B30+B29+B27+B26</f>
        <v>1118.78</v>
      </c>
      <c r="C34" s="2">
        <f t="shared" ref="C34:K34" si="1">+C30+C29+C27+C26</f>
        <v>1096.99</v>
      </c>
      <c r="D34" s="2">
        <f t="shared" si="1"/>
        <v>785.5</v>
      </c>
      <c r="E34" s="2">
        <f t="shared" si="1"/>
        <v>879.86</v>
      </c>
      <c r="F34" s="2">
        <f t="shared" si="1"/>
        <v>1619.94</v>
      </c>
      <c r="G34" s="2">
        <f t="shared" si="1"/>
        <v>1162.4000000000001</v>
      </c>
      <c r="H34" s="2">
        <f t="shared" si="1"/>
        <v>1008.95</v>
      </c>
      <c r="I34" s="2">
        <f t="shared" si="1"/>
        <v>1287.8700000000001</v>
      </c>
      <c r="J34" s="2">
        <f t="shared" si="1"/>
        <v>1565.67</v>
      </c>
      <c r="K34" s="2">
        <f t="shared" si="1"/>
        <v>1837.8600000000001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2">
      <c r="A42" s="2" t="s">
        <v>11</v>
      </c>
      <c r="B42" s="3">
        <v>3477.35</v>
      </c>
      <c r="C42" s="3">
        <v>3321.35</v>
      </c>
      <c r="D42" s="3">
        <v>3373.43</v>
      </c>
      <c r="E42" s="3">
        <v>3909.6</v>
      </c>
      <c r="F42" s="3">
        <v>4949.03</v>
      </c>
      <c r="G42" s="3">
        <v>4380.3900000000003</v>
      </c>
      <c r="H42" s="3">
        <v>4719.6099999999997</v>
      </c>
      <c r="I42" s="3">
        <v>5260.08</v>
      </c>
      <c r="J42" s="3">
        <v>6484.88</v>
      </c>
      <c r="K42" s="3">
        <v>5527.98</v>
      </c>
    </row>
    <row r="43" spans="1:11" x14ac:dyDescent="0.2">
      <c r="A43" s="2" t="s">
        <v>29</v>
      </c>
      <c r="B43" s="3">
        <v>3208.2</v>
      </c>
      <c r="C43" s="3">
        <v>3013.48</v>
      </c>
      <c r="D43" s="3">
        <v>3063.32</v>
      </c>
      <c r="E43" s="3">
        <v>3533.2</v>
      </c>
      <c r="F43" s="3">
        <v>4484.42</v>
      </c>
      <c r="G43" s="3">
        <v>3971.18</v>
      </c>
      <c r="H43" s="3">
        <v>4415.87</v>
      </c>
      <c r="I43" s="3">
        <v>4754.67</v>
      </c>
      <c r="J43" s="3">
        <v>5934.36</v>
      </c>
      <c r="K43" s="3">
        <v>5050.07</v>
      </c>
    </row>
    <row r="44" spans="1:11" x14ac:dyDescent="0.2">
      <c r="A44" s="2" t="s">
        <v>19</v>
      </c>
      <c r="B44" s="3">
        <v>186.84</v>
      </c>
      <c r="C44" s="3">
        <v>32.15</v>
      </c>
      <c r="D44" s="3">
        <v>32.24</v>
      </c>
      <c r="E44" s="3">
        <v>55.51</v>
      </c>
      <c r="F44" s="3">
        <v>23.79</v>
      </c>
      <c r="G44" s="3">
        <v>28.31</v>
      </c>
      <c r="H44" s="3">
        <v>28.22</v>
      </c>
      <c r="I44" s="3">
        <v>29.08</v>
      </c>
      <c r="J44" s="3">
        <v>13.09</v>
      </c>
      <c r="K44" s="3">
        <v>30.71</v>
      </c>
    </row>
    <row r="45" spans="1:11" x14ac:dyDescent="0.2">
      <c r="A45" s="2" t="s">
        <v>20</v>
      </c>
      <c r="B45" s="3">
        <v>46.5</v>
      </c>
      <c r="C45" s="3">
        <v>48.23</v>
      </c>
      <c r="D45" s="3">
        <v>49.68</v>
      </c>
      <c r="E45" s="3">
        <v>51.62</v>
      </c>
      <c r="F45" s="3">
        <v>53.08</v>
      </c>
      <c r="G45" s="3">
        <v>52.81</v>
      </c>
      <c r="H45" s="3">
        <v>53.21</v>
      </c>
      <c r="I45" s="3">
        <v>53.48</v>
      </c>
      <c r="J45" s="3">
        <v>52.42</v>
      </c>
      <c r="K45" s="3">
        <v>53.71</v>
      </c>
    </row>
    <row r="46" spans="1:11" ht="17.25" x14ac:dyDescent="0.35">
      <c r="A46" s="2" t="s">
        <v>21</v>
      </c>
      <c r="B46" s="7">
        <v>126.65</v>
      </c>
      <c r="C46" s="7">
        <v>110.97</v>
      </c>
      <c r="D46" s="7">
        <v>123.43</v>
      </c>
      <c r="E46" s="7">
        <v>138.16</v>
      </c>
      <c r="F46" s="7">
        <v>142.66</v>
      </c>
      <c r="G46" s="7">
        <v>132.29</v>
      </c>
      <c r="H46" s="7">
        <v>153.49</v>
      </c>
      <c r="I46" s="7">
        <v>155.87</v>
      </c>
      <c r="J46" s="7">
        <v>153.1</v>
      </c>
      <c r="K46" s="7">
        <v>155.18</v>
      </c>
    </row>
    <row r="47" spans="1:11" x14ac:dyDescent="0.2">
      <c r="A47" s="2" t="s">
        <v>22</v>
      </c>
      <c r="B47" s="3">
        <v>282.83999999999997</v>
      </c>
      <c r="C47" s="3">
        <v>180.82</v>
      </c>
      <c r="D47" s="3">
        <v>169.24</v>
      </c>
      <c r="E47" s="3">
        <v>242.13</v>
      </c>
      <c r="F47" s="3">
        <v>292.66000000000003</v>
      </c>
      <c r="G47" s="3">
        <v>252.42</v>
      </c>
      <c r="H47" s="3">
        <v>125.26</v>
      </c>
      <c r="I47" s="3">
        <v>325.14</v>
      </c>
      <c r="J47" s="3">
        <v>358.09</v>
      </c>
      <c r="K47" s="3">
        <v>299.73</v>
      </c>
    </row>
    <row r="48" spans="1:11" x14ac:dyDescent="0.2">
      <c r="A48" s="2" t="s">
        <v>23</v>
      </c>
      <c r="B48" s="3">
        <v>48.99</v>
      </c>
      <c r="C48" s="3">
        <v>43.42</v>
      </c>
      <c r="D48" s="3">
        <v>31.7</v>
      </c>
      <c r="E48" s="3">
        <v>73.83</v>
      </c>
      <c r="F48" s="3">
        <v>89.69</v>
      </c>
      <c r="G48" s="3">
        <v>68.2</v>
      </c>
      <c r="H48" s="3">
        <v>38.770000000000003</v>
      </c>
      <c r="I48" s="3">
        <v>94.18</v>
      </c>
      <c r="J48" s="3">
        <v>119.35</v>
      </c>
      <c r="K48" s="3">
        <v>77.2</v>
      </c>
    </row>
    <row r="49" spans="1:11" x14ac:dyDescent="0.2">
      <c r="A49" s="2" t="s">
        <v>24</v>
      </c>
      <c r="B49" s="3">
        <v>242.13</v>
      </c>
      <c r="C49" s="3">
        <v>129.63999999999999</v>
      </c>
      <c r="D49" s="3">
        <v>131</v>
      </c>
      <c r="E49" s="3">
        <v>157.69999999999999</v>
      </c>
      <c r="F49" s="3">
        <v>190.86</v>
      </c>
      <c r="G49" s="3">
        <v>173.54</v>
      </c>
      <c r="H49" s="3">
        <v>77.34</v>
      </c>
      <c r="I49" s="3">
        <v>220.65</v>
      </c>
      <c r="J49" s="3">
        <v>239.16</v>
      </c>
      <c r="K49" s="3">
        <v>209.92</v>
      </c>
    </row>
    <row r="50" spans="1:11" x14ac:dyDescent="0.2">
      <c r="A50" s="2" t="s">
        <v>30</v>
      </c>
      <c r="B50" s="3">
        <v>269.14999999999998</v>
      </c>
      <c r="C50" s="3">
        <v>307.87</v>
      </c>
      <c r="D50" s="3">
        <v>310.11</v>
      </c>
      <c r="E50" s="3">
        <v>376.4</v>
      </c>
      <c r="F50" s="3">
        <v>464.61</v>
      </c>
      <c r="G50" s="3">
        <v>409.21</v>
      </c>
      <c r="H50" s="3">
        <v>303.74</v>
      </c>
      <c r="I50" s="3">
        <v>505.41</v>
      </c>
      <c r="J50" s="3">
        <v>550.52</v>
      </c>
      <c r="K50" s="3">
        <v>477.91</v>
      </c>
    </row>
    <row r="51" spans="1:11" x14ac:dyDescent="0.2">
      <c r="A51" s="2" t="s">
        <v>27</v>
      </c>
      <c r="B51" s="2">
        <f>B49+B48+B46+B45</f>
        <v>464.27</v>
      </c>
      <c r="C51" s="2">
        <f t="shared" ref="C51:K51" si="2">C49+C48+C46+C45</f>
        <v>332.26</v>
      </c>
      <c r="D51" s="2">
        <f t="shared" si="2"/>
        <v>335.81</v>
      </c>
      <c r="E51" s="2">
        <f t="shared" si="2"/>
        <v>421.30999999999995</v>
      </c>
      <c r="F51" s="2">
        <f t="shared" si="2"/>
        <v>476.29</v>
      </c>
      <c r="G51" s="2">
        <f t="shared" si="2"/>
        <v>426.84</v>
      </c>
      <c r="H51" s="2">
        <f t="shared" si="2"/>
        <v>322.81</v>
      </c>
      <c r="I51" s="2">
        <f t="shared" si="2"/>
        <v>524.18000000000006</v>
      </c>
      <c r="J51" s="2">
        <f t="shared" si="2"/>
        <v>564.03</v>
      </c>
      <c r="K51" s="2">
        <f t="shared" si="2"/>
        <v>496.01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111.19</v>
      </c>
      <c r="C57" s="3">
        <v>111.19</v>
      </c>
      <c r="D57" s="3">
        <v>111.19</v>
      </c>
      <c r="E57" s="3">
        <v>120.13</v>
      </c>
      <c r="F57" s="3">
        <v>120.13</v>
      </c>
      <c r="G57" s="3">
        <v>121.97</v>
      </c>
      <c r="H57" s="3">
        <v>121.97</v>
      </c>
      <c r="I57" s="3">
        <v>121.97</v>
      </c>
      <c r="J57" s="3">
        <v>125.57</v>
      </c>
      <c r="K57" s="3">
        <v>125.57</v>
      </c>
    </row>
    <row r="58" spans="1:11" x14ac:dyDescent="0.2">
      <c r="A58" s="2" t="s">
        <v>33</v>
      </c>
      <c r="B58" s="3">
        <v>3290.68</v>
      </c>
      <c r="C58" s="3">
        <v>3280.83</v>
      </c>
      <c r="D58" s="3">
        <v>3336.48</v>
      </c>
      <c r="E58" s="3">
        <v>3962.39</v>
      </c>
      <c r="F58" s="3">
        <v>4447.79</v>
      </c>
      <c r="G58" s="3">
        <v>4784.4799999999996</v>
      </c>
      <c r="H58" s="3">
        <v>5022.78</v>
      </c>
      <c r="I58" s="3">
        <v>5454.22</v>
      </c>
      <c r="J58" s="3">
        <v>6041.26</v>
      </c>
      <c r="K58" s="3">
        <v>6514.13</v>
      </c>
    </row>
    <row r="59" spans="1:11" ht="17.25" x14ac:dyDescent="0.35">
      <c r="A59" s="2" t="s">
        <v>34</v>
      </c>
      <c r="B59" s="7">
        <v>3389.67</v>
      </c>
      <c r="C59" s="7">
        <v>3208</v>
      </c>
      <c r="D59" s="7">
        <v>2571.9299999999998</v>
      </c>
      <c r="E59" s="7">
        <v>2060.89</v>
      </c>
      <c r="F59" s="7">
        <v>2691.4</v>
      </c>
      <c r="G59" s="7">
        <v>2181.4699999999998</v>
      </c>
      <c r="H59" s="7">
        <v>2062.04</v>
      </c>
      <c r="I59" s="7">
        <v>1302.43</v>
      </c>
      <c r="J59" s="7">
        <v>973.82</v>
      </c>
      <c r="K59" s="7">
        <v>980.02</v>
      </c>
    </row>
    <row r="60" spans="1:11" x14ac:dyDescent="0.2">
      <c r="A60" s="2" t="s">
        <v>35</v>
      </c>
      <c r="B60" s="3">
        <v>5753.03</v>
      </c>
      <c r="C60" s="3">
        <v>5720.99</v>
      </c>
      <c r="D60" s="3">
        <v>5089.88</v>
      </c>
      <c r="E60" s="3">
        <v>6264.96</v>
      </c>
      <c r="F60" s="3">
        <v>7401.05</v>
      </c>
      <c r="G60" s="3">
        <v>6723.97</v>
      </c>
      <c r="H60" s="3">
        <v>6333.09</v>
      </c>
      <c r="I60" s="3">
        <v>7579.37</v>
      </c>
      <c r="J60" s="3">
        <v>9409.4699999999993</v>
      </c>
      <c r="K60" s="3">
        <v>10475.24</v>
      </c>
    </row>
    <row r="61" spans="1:11" s="1" customFormat="1" x14ac:dyDescent="0.2">
      <c r="A61" s="1" t="s">
        <v>36</v>
      </c>
      <c r="B61" s="3">
        <v>12544.57</v>
      </c>
      <c r="C61" s="3">
        <v>12321.01</v>
      </c>
      <c r="D61" s="3">
        <v>11109.48</v>
      </c>
      <c r="E61" s="3">
        <v>12408.37</v>
      </c>
      <c r="F61" s="3">
        <v>14660.37</v>
      </c>
      <c r="G61" s="3">
        <v>13811.89</v>
      </c>
      <c r="H61" s="3">
        <v>13539.88</v>
      </c>
      <c r="I61" s="3">
        <v>14457.99</v>
      </c>
      <c r="J61" s="3">
        <v>16550.12</v>
      </c>
      <c r="K61" s="3">
        <v>18094.96</v>
      </c>
    </row>
    <row r="62" spans="1:11" x14ac:dyDescent="0.2">
      <c r="A62" s="2" t="s">
        <v>37</v>
      </c>
      <c r="B62" s="3">
        <v>2445.79</v>
      </c>
      <c r="C62" s="3">
        <v>1674.2</v>
      </c>
      <c r="D62" s="3">
        <v>1098.58</v>
      </c>
      <c r="E62" s="3">
        <v>1158.04</v>
      </c>
      <c r="F62" s="3">
        <v>1550.74</v>
      </c>
      <c r="G62" s="3">
        <v>1413.29</v>
      </c>
      <c r="H62" s="3">
        <v>1416.99</v>
      </c>
      <c r="I62" s="3">
        <v>1442.55</v>
      </c>
      <c r="J62" s="3">
        <v>1502.87</v>
      </c>
      <c r="K62" s="3">
        <v>1565.3</v>
      </c>
    </row>
    <row r="63" spans="1:11" x14ac:dyDescent="0.2">
      <c r="A63" s="2" t="s">
        <v>38</v>
      </c>
      <c r="B63" s="3">
        <v>10.61</v>
      </c>
      <c r="C63" s="3">
        <v>8.1199999999999992</v>
      </c>
      <c r="D63" s="3">
        <v>1.46</v>
      </c>
      <c r="E63" s="3">
        <v>23.26</v>
      </c>
      <c r="F63" s="3">
        <v>13.49</v>
      </c>
      <c r="G63" s="3">
        <v>15.16</v>
      </c>
      <c r="H63" s="3">
        <v>21.86</v>
      </c>
      <c r="I63" s="3">
        <v>7.35</v>
      </c>
      <c r="J63" s="3">
        <v>21.98</v>
      </c>
      <c r="K63" s="3">
        <v>40.78</v>
      </c>
    </row>
    <row r="64" spans="1:11" ht="17.25" x14ac:dyDescent="0.35">
      <c r="A64" s="2" t="s">
        <v>39</v>
      </c>
      <c r="B64" s="3">
        <v>1132.96</v>
      </c>
      <c r="C64" s="7">
        <v>1128.3499999999999</v>
      </c>
      <c r="D64" s="3">
        <v>728.75</v>
      </c>
      <c r="E64" s="3">
        <v>619.46</v>
      </c>
      <c r="F64" s="3">
        <v>475.49</v>
      </c>
      <c r="G64" s="3">
        <v>448.24</v>
      </c>
      <c r="H64" s="3">
        <v>439.63</v>
      </c>
      <c r="I64" s="3">
        <v>345.82</v>
      </c>
      <c r="J64" s="3">
        <v>352.04</v>
      </c>
      <c r="K64" s="3">
        <v>154.9</v>
      </c>
    </row>
    <row r="65" spans="1:11" x14ac:dyDescent="0.2">
      <c r="A65" s="2" t="s">
        <v>40</v>
      </c>
      <c r="B65" s="3">
        <v>8955.2099999999991</v>
      </c>
      <c r="C65" s="3">
        <v>9510.34</v>
      </c>
      <c r="D65" s="3">
        <v>9280.69</v>
      </c>
      <c r="E65" s="3">
        <v>10607.61</v>
      </c>
      <c r="F65" s="3">
        <v>12620.65</v>
      </c>
      <c r="G65" s="3">
        <v>11935.2</v>
      </c>
      <c r="H65" s="3">
        <v>11661.4</v>
      </c>
      <c r="I65" s="3">
        <v>12662.27</v>
      </c>
      <c r="J65" s="3">
        <v>14673.23</v>
      </c>
      <c r="K65" s="3">
        <v>16333.98</v>
      </c>
    </row>
    <row r="66" spans="1:11" s="1" customFormat="1" x14ac:dyDescent="0.2">
      <c r="A66" s="1" t="s">
        <v>36</v>
      </c>
      <c r="B66" s="3">
        <v>12544.57</v>
      </c>
      <c r="C66" s="3">
        <v>12321.01</v>
      </c>
      <c r="D66" s="3">
        <v>11109.48</v>
      </c>
      <c r="E66" s="3">
        <v>12408.37</v>
      </c>
      <c r="F66" s="3">
        <v>14660.37</v>
      </c>
      <c r="G66" s="3">
        <v>13811.89</v>
      </c>
      <c r="H66" s="3">
        <v>13539.88</v>
      </c>
      <c r="I66" s="3">
        <v>14457.99</v>
      </c>
      <c r="J66" s="3">
        <v>16550.12</v>
      </c>
      <c r="K66" s="3">
        <v>18094.96</v>
      </c>
    </row>
    <row r="67" spans="1:11" x14ac:dyDescent="0.2">
      <c r="A67" s="2" t="s">
        <v>41</v>
      </c>
      <c r="B67" s="3">
        <v>1657.36</v>
      </c>
      <c r="C67" s="3">
        <v>3678.05</v>
      </c>
      <c r="D67" s="3">
        <v>4117.92</v>
      </c>
      <c r="E67" s="3">
        <v>4969.4399999999996</v>
      </c>
      <c r="F67" s="3">
        <v>3428.68</v>
      </c>
      <c r="G67" s="3">
        <v>2728.28</v>
      </c>
      <c r="H67" s="3">
        <v>2739.62</v>
      </c>
      <c r="I67" s="3">
        <v>2545.16</v>
      </c>
      <c r="J67" s="3">
        <v>3175.51</v>
      </c>
      <c r="K67" s="3">
        <v>3117.21</v>
      </c>
    </row>
    <row r="68" spans="1:11" ht="17.25" x14ac:dyDescent="0.35">
      <c r="A68" s="2" t="s">
        <v>42</v>
      </c>
      <c r="B68" s="7">
        <v>2756.99</v>
      </c>
      <c r="C68" s="7">
        <v>2862.71</v>
      </c>
      <c r="D68" s="7">
        <v>2718.1</v>
      </c>
      <c r="E68" s="7">
        <v>2830.44</v>
      </c>
      <c r="F68" s="7">
        <v>1425.41</v>
      </c>
      <c r="G68" s="7">
        <v>1391.29</v>
      </c>
      <c r="H68" s="7">
        <v>1222.21</v>
      </c>
      <c r="I68" s="7">
        <v>1153.3399999999999</v>
      </c>
      <c r="J68" s="7">
        <v>1374.03</v>
      </c>
      <c r="K68" s="7">
        <v>1763.76</v>
      </c>
    </row>
    <row r="69" spans="1:11" x14ac:dyDescent="0.2">
      <c r="A69" s="2" t="s">
        <v>43</v>
      </c>
      <c r="B69" s="3">
        <v>357.61</v>
      </c>
      <c r="C69" s="3">
        <v>346.87</v>
      </c>
      <c r="D69" s="3">
        <v>177</v>
      </c>
      <c r="E69" s="3">
        <v>117.69</v>
      </c>
      <c r="F69" s="3">
        <v>361.71</v>
      </c>
      <c r="G69" s="3">
        <v>388.74</v>
      </c>
      <c r="H69" s="3">
        <v>504.58</v>
      </c>
      <c r="I69" s="3">
        <v>600.53</v>
      </c>
      <c r="J69" s="3">
        <v>709.27</v>
      </c>
      <c r="K69" s="3">
        <v>1149.55</v>
      </c>
    </row>
    <row r="70" spans="1:11" x14ac:dyDescent="0.2">
      <c r="A70" s="2" t="s">
        <v>44</v>
      </c>
      <c r="B70" s="3">
        <v>555931588</v>
      </c>
      <c r="C70" s="3">
        <v>555931588</v>
      </c>
      <c r="D70" s="3">
        <v>555931588</v>
      </c>
      <c r="E70" s="3">
        <v>600646588</v>
      </c>
      <c r="F70" s="3">
        <v>600646588</v>
      </c>
      <c r="G70" s="3">
        <v>609846588</v>
      </c>
      <c r="H70" s="3">
        <v>609846588</v>
      </c>
      <c r="I70" s="3">
        <v>609846588</v>
      </c>
      <c r="J70" s="3">
        <v>627846588</v>
      </c>
      <c r="K70" s="3">
        <v>627846588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2">
      <c r="H73" s="2">
        <f>H62-G62+H45</f>
        <v>56.910000000000046</v>
      </c>
      <c r="I73" s="2">
        <f t="shared" ref="I73:K73" si="3">I62-H62+I45</f>
        <v>79.039999999999935</v>
      </c>
      <c r="J73" s="2">
        <f t="shared" si="3"/>
        <v>112.73999999999994</v>
      </c>
      <c r="K73" s="2">
        <f t="shared" si="3"/>
        <v>116.14000000000007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>
        <v>866.91</v>
      </c>
      <c r="C82" s="3">
        <v>395.46</v>
      </c>
      <c r="D82" s="3">
        <v>313.57</v>
      </c>
      <c r="E82" s="3">
        <v>585.80999999999995</v>
      </c>
      <c r="F82" s="3">
        <v>673.13</v>
      </c>
      <c r="G82" s="3">
        <v>931.39</v>
      </c>
      <c r="H82" s="3">
        <v>841.84</v>
      </c>
      <c r="I82" s="3">
        <v>1415.55</v>
      </c>
      <c r="J82" s="3">
        <v>1100.1099999999999</v>
      </c>
      <c r="K82" s="3">
        <v>1359.45</v>
      </c>
    </row>
    <row r="83" spans="1:12" x14ac:dyDescent="0.2">
      <c r="A83" s="2" t="s">
        <v>49</v>
      </c>
      <c r="B83" s="3">
        <v>-95.25</v>
      </c>
      <c r="C83" s="3">
        <v>192.51</v>
      </c>
      <c r="D83" s="3">
        <v>375.57</v>
      </c>
      <c r="E83" s="3">
        <v>-188.33</v>
      </c>
      <c r="F83" s="3">
        <v>-618.91</v>
      </c>
      <c r="G83" s="3">
        <v>10.55</v>
      </c>
      <c r="H83" s="3">
        <v>-206.56</v>
      </c>
      <c r="I83" s="3">
        <v>-66.040000000000006</v>
      </c>
      <c r="J83" s="3">
        <v>-191.56</v>
      </c>
      <c r="K83" s="3">
        <v>-318.69</v>
      </c>
    </row>
    <row r="84" spans="1:12" x14ac:dyDescent="0.2">
      <c r="A84" s="2" t="s">
        <v>50</v>
      </c>
      <c r="B84" s="3">
        <v>-642.54</v>
      </c>
      <c r="C84" s="3">
        <v>-551.13</v>
      </c>
      <c r="D84" s="3">
        <v>-817.83</v>
      </c>
      <c r="E84" s="3">
        <v>-453.45</v>
      </c>
      <c r="F84" s="3">
        <v>89.15</v>
      </c>
      <c r="G84" s="3">
        <v>-1046.93</v>
      </c>
      <c r="H84" s="3">
        <v>-558.08000000000004</v>
      </c>
      <c r="I84" s="3">
        <v>-1274.6099999999999</v>
      </c>
      <c r="J84" s="3">
        <v>-892.7</v>
      </c>
      <c r="K84" s="3">
        <v>-771.22</v>
      </c>
    </row>
    <row r="85" spans="1:12" s="1" customFormat="1" x14ac:dyDescent="0.2">
      <c r="A85" s="2" t="s">
        <v>51</v>
      </c>
      <c r="B85" s="3">
        <v>129.12</v>
      </c>
      <c r="C85" s="3">
        <v>36.85</v>
      </c>
      <c r="D85" s="3">
        <v>-128.69</v>
      </c>
      <c r="E85" s="3">
        <v>-55.97</v>
      </c>
      <c r="F85" s="3">
        <v>143.37</v>
      </c>
      <c r="G85" s="3">
        <v>-104.99</v>
      </c>
      <c r="H85" s="3">
        <v>77.2</v>
      </c>
      <c r="I85" s="3">
        <v>74.900000000000006</v>
      </c>
      <c r="J85" s="3">
        <v>15.85</v>
      </c>
      <c r="K85" s="3">
        <v>269.54000000000002</v>
      </c>
    </row>
    <row r="90" spans="1:12" s="1" customFormat="1" x14ac:dyDescent="0.2">
      <c r="A90" s="1" t="s">
        <v>52</v>
      </c>
      <c r="B90" s="3">
        <v>112.05</v>
      </c>
      <c r="C90" s="3">
        <v>75.8</v>
      </c>
      <c r="D90" s="3">
        <v>81.95</v>
      </c>
      <c r="E90" s="3">
        <v>117.55</v>
      </c>
      <c r="F90" s="3">
        <v>112.85</v>
      </c>
      <c r="G90" s="3">
        <v>18.75</v>
      </c>
      <c r="H90" s="3">
        <v>79</v>
      </c>
      <c r="I90" s="3">
        <v>58.55</v>
      </c>
      <c r="J90" s="3">
        <v>106.1</v>
      </c>
      <c r="K90" s="3">
        <v>232.35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55.59</v>
      </c>
      <c r="C93" s="10">
        <v>55.59</v>
      </c>
      <c r="D93" s="10">
        <v>55.59</v>
      </c>
      <c r="E93" s="10">
        <v>60.06</v>
      </c>
      <c r="F93" s="10">
        <v>60.06</v>
      </c>
      <c r="G93" s="10">
        <v>60.98</v>
      </c>
      <c r="H93" s="10">
        <v>60.98</v>
      </c>
      <c r="I93" s="10">
        <v>60.98</v>
      </c>
      <c r="J93" s="10">
        <v>62.78</v>
      </c>
      <c r="K93" s="10">
        <v>62.78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A12" sqref="A12"/>
    </sheetView>
  </sheetViews>
  <sheetFormatPr defaultRowHeight="15" x14ac:dyDescent="0.25"/>
  <cols>
    <col min="1" max="1" width="5.7109375" bestFit="1" customWidth="1"/>
    <col min="2" max="2" width="17.5703125" bestFit="1" customWidth="1"/>
    <col min="3" max="3" width="8" bestFit="1" customWidth="1"/>
    <col min="4" max="4" width="16.5703125" bestFit="1" customWidth="1"/>
    <col min="5" max="5" width="13.7109375" bestFit="1" customWidth="1"/>
    <col min="6" max="6" width="10.7109375" bestFit="1" customWidth="1"/>
    <col min="7" max="7" width="14.42578125" bestFit="1" customWidth="1"/>
    <col min="8" max="9" width="14.42578125" customWidth="1"/>
    <col min="10" max="10" width="10.5703125" bestFit="1" customWidth="1"/>
    <col min="11" max="11" width="11" bestFit="1" customWidth="1"/>
    <col min="12" max="12" width="11.28515625" bestFit="1" customWidth="1"/>
    <col min="13" max="13" width="13.140625" bestFit="1" customWidth="1"/>
    <col min="14" max="14" width="12.85546875" bestFit="1" customWidth="1"/>
    <col min="15" max="16" width="7.7109375" customWidth="1"/>
  </cols>
  <sheetData>
    <row r="2" spans="1:15" s="107" customFormat="1" ht="45" x14ac:dyDescent="0.25">
      <c r="A2" s="103" t="s">
        <v>128</v>
      </c>
      <c r="B2" s="103" t="s">
        <v>129</v>
      </c>
      <c r="C2" s="104" t="s">
        <v>158</v>
      </c>
      <c r="D2" s="104" t="s">
        <v>159</v>
      </c>
      <c r="E2" s="105" t="s">
        <v>178</v>
      </c>
      <c r="F2" s="104" t="s">
        <v>160</v>
      </c>
      <c r="G2" s="104" t="s">
        <v>161</v>
      </c>
      <c r="H2" s="105" t="s">
        <v>152</v>
      </c>
      <c r="I2" s="106" t="s">
        <v>157</v>
      </c>
      <c r="J2" s="104" t="s">
        <v>162</v>
      </c>
      <c r="K2" s="104" t="s">
        <v>163</v>
      </c>
      <c r="L2" s="104" t="s">
        <v>164</v>
      </c>
      <c r="M2" s="104" t="s">
        <v>165</v>
      </c>
      <c r="N2" s="104" t="s">
        <v>166</v>
      </c>
      <c r="O2" s="104" t="s">
        <v>167</v>
      </c>
    </row>
    <row r="3" spans="1:15" x14ac:dyDescent="0.25">
      <c r="A3" s="68">
        <v>1</v>
      </c>
      <c r="B3" s="102" t="s">
        <v>168</v>
      </c>
      <c r="C3" s="101">
        <v>1389.4</v>
      </c>
      <c r="D3" s="101">
        <v>99.52</v>
      </c>
      <c r="E3" s="97">
        <f>C3*D3</f>
        <v>138273.08800000002</v>
      </c>
      <c r="F3" s="101">
        <v>7697.6</v>
      </c>
      <c r="G3" s="101">
        <v>2634.8</v>
      </c>
      <c r="H3" s="97">
        <f>F3-G3</f>
        <v>5062.8</v>
      </c>
      <c r="I3" s="67">
        <f>+E3+F3-G3</f>
        <v>143335.88800000004</v>
      </c>
      <c r="J3" s="101">
        <v>143586.01</v>
      </c>
      <c r="K3" s="101">
        <v>11545.2</v>
      </c>
      <c r="L3" s="101">
        <v>44.02</v>
      </c>
      <c r="M3" s="101">
        <v>1554.2</v>
      </c>
      <c r="N3" s="101">
        <v>12</v>
      </c>
      <c r="O3" s="101">
        <v>138523.21</v>
      </c>
    </row>
    <row r="4" spans="1:15" s="11" customFormat="1" x14ac:dyDescent="0.25">
      <c r="A4" s="108">
        <f>A3+1</f>
        <v>2</v>
      </c>
      <c r="B4" s="103" t="s">
        <v>169</v>
      </c>
      <c r="C4" s="109">
        <v>308.64999999999998</v>
      </c>
      <c r="D4" s="109">
        <v>62.78</v>
      </c>
      <c r="E4" s="108">
        <f t="shared" ref="E4:E12" si="0">C4*D4</f>
        <v>19377.046999999999</v>
      </c>
      <c r="F4" s="109">
        <v>980.02</v>
      </c>
      <c r="G4" s="109">
        <v>1149.55</v>
      </c>
      <c r="H4" s="108">
        <f t="shared" ref="H4:H12" si="1">F4-G4</f>
        <v>-169.52999999999997</v>
      </c>
      <c r="I4" s="11">
        <f t="shared" ref="I4:I12" si="2">+E4+F4-G4</f>
        <v>19207.517</v>
      </c>
      <c r="J4" s="109">
        <v>19218.310000000001</v>
      </c>
      <c r="K4" s="109">
        <v>21992.55</v>
      </c>
      <c r="L4" s="109">
        <v>9.75</v>
      </c>
      <c r="M4" s="109">
        <v>740.41</v>
      </c>
      <c r="N4" s="109">
        <v>0.88</v>
      </c>
      <c r="O4" s="109">
        <v>19387.84</v>
      </c>
    </row>
    <row r="5" spans="1:15" x14ac:dyDescent="0.25">
      <c r="A5" s="68">
        <f t="shared" ref="A5:A12" si="3">A4+1</f>
        <v>3</v>
      </c>
      <c r="B5" s="102" t="s">
        <v>170</v>
      </c>
      <c r="C5" s="101">
        <v>4538.05</v>
      </c>
      <c r="D5" s="101">
        <v>2</v>
      </c>
      <c r="E5" s="68">
        <f>C5*D5</f>
        <v>9076.1</v>
      </c>
      <c r="F5" s="101">
        <v>0</v>
      </c>
      <c r="G5" s="101">
        <v>1.02</v>
      </c>
      <c r="H5" s="68">
        <f t="shared" si="1"/>
        <v>-1.02</v>
      </c>
      <c r="I5">
        <f t="shared" si="2"/>
        <v>9075.08</v>
      </c>
      <c r="J5" s="101">
        <v>9075.08</v>
      </c>
      <c r="K5" s="101">
        <v>20.96</v>
      </c>
      <c r="L5" s="101">
        <v>455.58</v>
      </c>
      <c r="M5" s="101">
        <v>14.74</v>
      </c>
      <c r="N5" s="101">
        <v>433.02</v>
      </c>
      <c r="O5" s="101">
        <v>9076.1</v>
      </c>
    </row>
    <row r="6" spans="1:15" x14ac:dyDescent="0.25">
      <c r="A6" s="68">
        <f t="shared" si="3"/>
        <v>4</v>
      </c>
      <c r="B6" s="102" t="s">
        <v>171</v>
      </c>
      <c r="C6" s="101">
        <v>575.45000000000005</v>
      </c>
      <c r="D6" s="101">
        <v>15.51</v>
      </c>
      <c r="E6" s="68">
        <f t="shared" si="0"/>
        <v>8925.2295000000013</v>
      </c>
      <c r="F6" s="101">
        <v>877.18</v>
      </c>
      <c r="G6" s="101">
        <v>106.77</v>
      </c>
      <c r="H6" s="68">
        <f t="shared" si="1"/>
        <v>770.41</v>
      </c>
      <c r="I6">
        <f t="shared" si="2"/>
        <v>9695.6395000000011</v>
      </c>
      <c r="J6" s="101">
        <v>9697.4</v>
      </c>
      <c r="K6" s="101">
        <v>302.19</v>
      </c>
      <c r="L6" s="101">
        <v>101.78</v>
      </c>
      <c r="M6" s="101">
        <v>98.3</v>
      </c>
      <c r="N6" s="101">
        <v>29.54</v>
      </c>
      <c r="O6" s="101">
        <v>8926.99</v>
      </c>
    </row>
    <row r="7" spans="1:15" x14ac:dyDescent="0.25">
      <c r="A7" s="68">
        <f t="shared" si="3"/>
        <v>5</v>
      </c>
      <c r="B7" s="102" t="s">
        <v>172</v>
      </c>
      <c r="C7" s="101">
        <v>192.58</v>
      </c>
      <c r="D7" s="101">
        <v>37.22</v>
      </c>
      <c r="E7" s="68">
        <f t="shared" si="0"/>
        <v>7167.8276000000005</v>
      </c>
      <c r="F7" s="101">
        <v>130.85</v>
      </c>
      <c r="G7" s="101">
        <v>548.52</v>
      </c>
      <c r="H7" s="68">
        <f t="shared" si="1"/>
        <v>-417.66999999999996</v>
      </c>
      <c r="I7">
        <f t="shared" si="2"/>
        <v>6750.1576000000005</v>
      </c>
      <c r="J7" s="101">
        <v>6764.31</v>
      </c>
      <c r="K7" s="101">
        <v>1095.4100000000001</v>
      </c>
      <c r="L7" s="101">
        <v>15.52</v>
      </c>
      <c r="M7" s="101">
        <v>303.33999999999997</v>
      </c>
      <c r="N7" s="101">
        <v>6.56</v>
      </c>
      <c r="O7" s="101">
        <v>7181.98</v>
      </c>
    </row>
    <row r="8" spans="1:15" x14ac:dyDescent="0.25">
      <c r="A8" s="68">
        <f t="shared" si="3"/>
        <v>6</v>
      </c>
      <c r="B8" s="102" t="s">
        <v>173</v>
      </c>
      <c r="C8" s="101">
        <v>855.3</v>
      </c>
      <c r="D8" s="101">
        <v>8.34</v>
      </c>
      <c r="E8" s="68">
        <f t="shared" si="0"/>
        <v>7133.2019999999993</v>
      </c>
      <c r="F8" s="101">
        <v>246.84</v>
      </c>
      <c r="G8" s="101">
        <v>230.64</v>
      </c>
      <c r="H8" s="68">
        <f t="shared" si="1"/>
        <v>16.200000000000017</v>
      </c>
      <c r="I8">
        <f t="shared" si="2"/>
        <v>7149.4019999999991</v>
      </c>
      <c r="J8" s="101">
        <v>7152.08</v>
      </c>
      <c r="K8" s="101">
        <v>835.7</v>
      </c>
      <c r="L8" s="101">
        <v>12.58</v>
      </c>
      <c r="M8" s="101">
        <v>460.71</v>
      </c>
      <c r="N8" s="101">
        <v>8.5399999999999991</v>
      </c>
      <c r="O8" s="101">
        <v>7135.88</v>
      </c>
    </row>
    <row r="9" spans="1:15" x14ac:dyDescent="0.25">
      <c r="A9" s="68">
        <f t="shared" si="3"/>
        <v>7</v>
      </c>
      <c r="B9" s="102" t="s">
        <v>174</v>
      </c>
      <c r="C9" s="101">
        <v>155.9</v>
      </c>
      <c r="D9" s="101">
        <v>18.57</v>
      </c>
      <c r="E9" s="68">
        <f t="shared" si="0"/>
        <v>2895.0630000000001</v>
      </c>
      <c r="F9" s="101">
        <v>71.23</v>
      </c>
      <c r="G9" s="101">
        <v>24.86</v>
      </c>
      <c r="H9" s="68">
        <f t="shared" si="1"/>
        <v>46.370000000000005</v>
      </c>
      <c r="I9">
        <f t="shared" si="2"/>
        <v>2941.433</v>
      </c>
      <c r="J9" s="101">
        <v>2941.04</v>
      </c>
      <c r="K9" s="101">
        <v>634.63</v>
      </c>
      <c r="L9" s="101">
        <v>17.37</v>
      </c>
      <c r="M9" s="101">
        <v>122.81</v>
      </c>
      <c r="N9" s="101">
        <v>4.5599999999999996</v>
      </c>
      <c r="O9" s="101">
        <v>2894.67</v>
      </c>
    </row>
    <row r="10" spans="1:15" x14ac:dyDescent="0.25">
      <c r="A10" s="68">
        <f t="shared" si="3"/>
        <v>8</v>
      </c>
      <c r="B10" s="102" t="s">
        <v>175</v>
      </c>
      <c r="C10" s="101">
        <v>666.85</v>
      </c>
      <c r="D10" s="101">
        <v>3.96</v>
      </c>
      <c r="E10" s="68">
        <f t="shared" si="0"/>
        <v>2640.7260000000001</v>
      </c>
      <c r="F10" s="101">
        <v>455.09</v>
      </c>
      <c r="G10" s="101">
        <v>225.13</v>
      </c>
      <c r="H10" s="68">
        <f t="shared" si="1"/>
        <v>229.95999999999998</v>
      </c>
      <c r="I10">
        <f t="shared" si="2"/>
        <v>2870.6860000000001</v>
      </c>
      <c r="J10" s="101">
        <v>2872.3</v>
      </c>
      <c r="K10" s="101">
        <v>2564.83</v>
      </c>
      <c r="L10" s="101">
        <v>9.81</v>
      </c>
      <c r="M10" s="101">
        <v>123.9</v>
      </c>
      <c r="N10" s="101">
        <v>1.03</v>
      </c>
      <c r="O10" s="101">
        <v>2642.34</v>
      </c>
    </row>
    <row r="11" spans="1:15" x14ac:dyDescent="0.25">
      <c r="A11" s="68">
        <f t="shared" si="3"/>
        <v>9</v>
      </c>
      <c r="B11" s="102" t="s">
        <v>176</v>
      </c>
      <c r="C11" s="101">
        <v>95.64</v>
      </c>
      <c r="D11" s="101">
        <v>22.54</v>
      </c>
      <c r="E11" s="68">
        <f t="shared" si="0"/>
        <v>2155.7255999999998</v>
      </c>
      <c r="F11" s="101">
        <v>309.58</v>
      </c>
      <c r="G11" s="101">
        <v>32.79</v>
      </c>
      <c r="H11" s="68">
        <f t="shared" si="1"/>
        <v>276.78999999999996</v>
      </c>
      <c r="I11">
        <f t="shared" si="2"/>
        <v>2432.5155999999997</v>
      </c>
      <c r="J11" s="101">
        <v>2431.8000000000002</v>
      </c>
      <c r="K11" s="101">
        <v>1342.11</v>
      </c>
      <c r="L11" s="101">
        <v>18.8</v>
      </c>
      <c r="M11" s="101">
        <v>52.53</v>
      </c>
      <c r="N11" s="101">
        <v>1.61</v>
      </c>
      <c r="O11" s="101">
        <v>2155.0100000000002</v>
      </c>
    </row>
    <row r="12" spans="1:15" x14ac:dyDescent="0.25">
      <c r="A12" s="68">
        <f t="shared" si="3"/>
        <v>10</v>
      </c>
      <c r="B12" s="102" t="s">
        <v>177</v>
      </c>
      <c r="C12" s="101">
        <v>125.05</v>
      </c>
      <c r="D12" s="101">
        <v>16.95</v>
      </c>
      <c r="E12" s="68">
        <f t="shared" si="0"/>
        <v>2119.5974999999999</v>
      </c>
      <c r="F12" s="101">
        <v>365.44</v>
      </c>
      <c r="G12" s="101">
        <v>4.26</v>
      </c>
      <c r="H12" s="68">
        <f t="shared" si="1"/>
        <v>361.18</v>
      </c>
      <c r="I12">
        <f t="shared" si="2"/>
        <v>2480.7774999999997</v>
      </c>
      <c r="J12" s="101">
        <v>2480.5100000000002</v>
      </c>
      <c r="K12" s="101">
        <v>344.35</v>
      </c>
      <c r="L12" s="101">
        <v>14.14</v>
      </c>
      <c r="M12" s="101">
        <v>85.49</v>
      </c>
      <c r="N12" s="101">
        <v>6.15</v>
      </c>
      <c r="O12" s="101">
        <v>2119.33</v>
      </c>
    </row>
    <row r="13" spans="1:15" x14ac:dyDescent="0.25">
      <c r="A13" s="68"/>
      <c r="B13" s="69"/>
      <c r="C13" s="68"/>
      <c r="D13" s="68"/>
      <c r="E13" s="68"/>
      <c r="F13" s="68"/>
      <c r="G13" s="68"/>
      <c r="H13" s="68"/>
      <c r="J13" s="68"/>
      <c r="K13" s="68"/>
      <c r="L13" s="98"/>
      <c r="M13" s="68"/>
      <c r="N13" s="68"/>
    </row>
    <row r="14" spans="1:15" x14ac:dyDescent="0.25">
      <c r="A14" s="68"/>
      <c r="B14" s="69"/>
      <c r="C14" s="68"/>
      <c r="D14" s="68"/>
      <c r="E14" s="68"/>
      <c r="F14" s="68"/>
      <c r="G14" s="68"/>
      <c r="H14" s="68"/>
      <c r="J14" s="68"/>
      <c r="K14" s="68"/>
      <c r="L14" s="98"/>
      <c r="M14" s="68"/>
      <c r="N14" s="68"/>
    </row>
    <row r="15" spans="1:15" x14ac:dyDescent="0.25">
      <c r="A15" s="68"/>
      <c r="B15" s="69"/>
      <c r="C15" s="68"/>
      <c r="D15" s="68"/>
      <c r="E15" s="68"/>
      <c r="F15" s="68"/>
      <c r="G15" s="68"/>
      <c r="H15" s="68"/>
      <c r="J15" s="68"/>
      <c r="K15" s="68"/>
      <c r="L15" s="98"/>
      <c r="M15" s="68"/>
      <c r="N15" s="68"/>
    </row>
    <row r="16" spans="1:15" x14ac:dyDescent="0.25">
      <c r="A16" s="68"/>
      <c r="B16" s="69"/>
      <c r="C16" s="68"/>
      <c r="D16" s="68"/>
      <c r="E16" s="68"/>
      <c r="F16" s="68"/>
      <c r="G16" s="68"/>
      <c r="H16" s="68"/>
      <c r="J16" s="68"/>
      <c r="K16" s="68"/>
      <c r="L16" s="98"/>
      <c r="M16" s="68"/>
      <c r="N16" s="68"/>
    </row>
    <row r="17" spans="1:14" x14ac:dyDescent="0.25">
      <c r="A17" s="68"/>
      <c r="B17" s="69"/>
      <c r="C17" s="68"/>
      <c r="D17" s="68"/>
      <c r="E17" s="68"/>
      <c r="F17" s="68"/>
      <c r="G17" s="68"/>
      <c r="H17" s="68"/>
      <c r="J17" s="68"/>
      <c r="K17" s="68"/>
      <c r="L17" s="98"/>
      <c r="M17" s="68"/>
      <c r="N17" s="68"/>
    </row>
  </sheetData>
  <hyperlinks>
    <hyperlink ref="E2" r:id="rId1" display="https://www.screener.in/company/compare/00000026/?sort=market+capitalization&amp;order=desc"/>
    <hyperlink ref="A2" r:id="rId2" display="https://www.screener.in/company/compare/00000016/00000031/?order=asc"/>
    <hyperlink ref="B2" r:id="rId3" display="https://www.screener.in/company/compare/00000016/00000031/?sort=name&amp;order=desc"/>
    <hyperlink ref="C2" r:id="rId4" display="https://www.screener.in/company/compare/00000016/00000031/?sort=current+price&amp;order=desc"/>
    <hyperlink ref="D2" r:id="rId5" display="https://www.screener.in/company/compare/00000016/00000031/?sort=number+of+equity+shares&amp;order=desc"/>
    <hyperlink ref="F2" r:id="rId6" display="https://www.screener.in/company/compare/00000016/00000031/?sort=debt&amp;order=desc"/>
    <hyperlink ref="G2" r:id="rId7" display="https://www.screener.in/company/compare/00000016/00000031/?sort=cash+end+of+last+year&amp;order=desc"/>
    <hyperlink ref="J2" r:id="rId8" display="https://www.screener.in/company/compare/00000016/00000031/?sort=enterprise+value&amp;order=desc"/>
    <hyperlink ref="K2" r:id="rId9" display="https://www.screener.in/company/compare/00000016/00000031/?sort=sales&amp;order=desc"/>
    <hyperlink ref="L2" r:id="rId10" display="https://www.screener.in/company/compare/00000016/00000031/?sort=evebitda&amp;order=desc"/>
    <hyperlink ref="M2" r:id="rId11" display="https://www.screener.in/company/compare/00000016/00000031/?sort=net+profit+last+year&amp;order=desc"/>
    <hyperlink ref="N2" r:id="rId12" display="https://www.screener.in/company/compare/00000016/00000031/?sort=market+cap+to+sales&amp;order=desc"/>
    <hyperlink ref="O2" r:id="rId13" display="https://www.screener.in/company/compare/00000016/00000031/?sort=market+capitalization&amp;order=desc"/>
    <hyperlink ref="B3" r:id="rId14" display="https://www.screener.in/company/LODHA/consolidated/"/>
    <hyperlink ref="B4" r:id="rId15" display="https://www.screener.in/company/NCC/consolidated/"/>
    <hyperlink ref="B5" r:id="rId16" display="https://www.screener.in/company/504882/"/>
    <hyperlink ref="B6" r:id="rId17" display="https://www.screener.in/company/MAHLIFE/consolidated/"/>
    <hyperlink ref="B7" r:id="rId18" display="https://www.screener.in/company/MANINFRA/consolidated/"/>
    <hyperlink ref="B8" r:id="rId19" display="https://www.screener.in/company/GANESHHOUC/consolidated/"/>
    <hyperlink ref="B9" r:id="rId20" display="https://www.screener.in/company/ARKADE/consolidated/"/>
    <hyperlink ref="B10" r:id="rId21" display="https://www.screener.in/company/PSPPROJECT/"/>
    <hyperlink ref="B11" r:id="rId22" display="https://www.screener.in/company/BLKASHYAP/consolidated/"/>
    <hyperlink ref="B12" r:id="rId23" display="https://www.screener.in/company/504000/consolidated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opLeftCell="A6" zoomScale="85" zoomScaleNormal="85" workbookViewId="0">
      <selection activeCell="H24" sqref="H24"/>
    </sheetView>
  </sheetViews>
  <sheetFormatPr defaultRowHeight="15" x14ac:dyDescent="0.25"/>
  <cols>
    <col min="1" max="1" width="2.140625" customWidth="1"/>
    <col min="2" max="2" width="23.42578125" customWidth="1"/>
    <col min="3" max="3" width="17" bestFit="1" customWidth="1"/>
    <col min="4" max="4" width="17.28515625" customWidth="1"/>
    <col min="5" max="5" width="15.14062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1:17" ht="19.5" x14ac:dyDescent="0.3">
      <c r="E1" s="121" t="s">
        <v>179</v>
      </c>
      <c r="F1" s="121"/>
    </row>
    <row r="2" spans="1:17" ht="21.75" x14ac:dyDescent="0.45">
      <c r="B2" s="70" t="s">
        <v>130</v>
      </c>
    </row>
    <row r="3" spans="1:17" ht="27" x14ac:dyDescent="0.55000000000000004">
      <c r="A3" s="71"/>
      <c r="B3" s="72"/>
      <c r="C3" s="73"/>
      <c r="D3" s="73"/>
      <c r="E3" s="73"/>
      <c r="F3" s="95" t="s">
        <v>131</v>
      </c>
      <c r="G3" s="95"/>
      <c r="H3" s="95"/>
      <c r="I3" s="95"/>
      <c r="J3" s="73"/>
      <c r="K3" s="73"/>
      <c r="L3" s="73"/>
      <c r="M3" s="73"/>
      <c r="N3" s="73"/>
      <c r="O3" s="73"/>
      <c r="P3" s="73"/>
      <c r="Q3" s="73"/>
    </row>
    <row r="4" spans="1:17" ht="5.0999999999999996" customHeight="1" x14ac:dyDescent="0.25">
      <c r="A4" s="71"/>
    </row>
    <row r="5" spans="1:17" ht="17.25" x14ac:dyDescent="0.35">
      <c r="A5" s="71"/>
      <c r="B5" s="74"/>
      <c r="C5" s="118" t="s">
        <v>132</v>
      </c>
      <c r="D5" s="118"/>
      <c r="E5" s="118"/>
      <c r="F5" s="118"/>
      <c r="G5" s="118"/>
      <c r="H5" s="118"/>
      <c r="I5" s="74"/>
      <c r="J5" s="119" t="s">
        <v>133</v>
      </c>
      <c r="K5" s="119"/>
      <c r="L5" s="119"/>
      <c r="M5" s="119"/>
      <c r="N5" s="74"/>
      <c r="O5" s="120" t="s">
        <v>134</v>
      </c>
      <c r="P5" s="120"/>
      <c r="Q5" s="75"/>
    </row>
    <row r="6" spans="1:17" ht="17.25" x14ac:dyDescent="0.35">
      <c r="B6" s="76" t="s">
        <v>135</v>
      </c>
      <c r="C6" s="77"/>
      <c r="D6" s="76" t="s">
        <v>136</v>
      </c>
      <c r="E6" s="76" t="s">
        <v>137</v>
      </c>
      <c r="F6" s="76" t="s">
        <v>138</v>
      </c>
      <c r="G6" s="76" t="s">
        <v>127</v>
      </c>
      <c r="H6" s="76" t="s">
        <v>139</v>
      </c>
      <c r="I6" s="76"/>
      <c r="J6" s="76" t="s">
        <v>140</v>
      </c>
      <c r="K6" s="76" t="s">
        <v>27</v>
      </c>
      <c r="L6" s="76" t="s">
        <v>141</v>
      </c>
      <c r="M6" s="76"/>
      <c r="N6" s="78"/>
      <c r="O6" s="76" t="s">
        <v>142</v>
      </c>
      <c r="P6" s="79" t="s">
        <v>143</v>
      </c>
      <c r="Q6" s="79" t="s">
        <v>144</v>
      </c>
    </row>
    <row r="7" spans="1:17" ht="6" customHeight="1" x14ac:dyDescent="0.25"/>
    <row r="8" spans="1:17" x14ac:dyDescent="0.25">
      <c r="B8" s="80" t="str">
        <f>'Raw Data For CCA'!B3</f>
        <v>Macrotech Devel.</v>
      </c>
      <c r="C8" s="80"/>
      <c r="D8" s="81">
        <f>'Raw Data For CCA'!C3</f>
        <v>1389.4</v>
      </c>
      <c r="E8" s="81">
        <f>'Raw Data For CCA'!D3</f>
        <v>99.52</v>
      </c>
      <c r="F8" s="96">
        <f>D8*E8</f>
        <v>138273.08800000002</v>
      </c>
      <c r="G8" s="81">
        <f>'Raw Data For CCA'!H3</f>
        <v>5062.8</v>
      </c>
      <c r="H8" s="81">
        <f>F8+G8</f>
        <v>143335.88800000001</v>
      </c>
      <c r="I8" s="81"/>
      <c r="J8" s="81">
        <f>'Raw Data For CCA'!K3</f>
        <v>11545.2</v>
      </c>
      <c r="K8" s="81">
        <f>'Raw Data For CCA'!L3</f>
        <v>44.02</v>
      </c>
      <c r="L8" s="81">
        <f>'Raw Data For CCA'!M3</f>
        <v>1554.2</v>
      </c>
      <c r="M8" s="82"/>
      <c r="N8" s="82"/>
      <c r="O8" s="83">
        <f>$H8/J8</f>
        <v>12.415193153864809</v>
      </c>
      <c r="P8" s="83">
        <f>$H8/K8</f>
        <v>3256.153748296229</v>
      </c>
      <c r="Q8" s="83">
        <f>F8/L8</f>
        <v>88.967370994723979</v>
      </c>
    </row>
    <row r="9" spans="1:17" s="11" customFormat="1" x14ac:dyDescent="0.25">
      <c r="B9" s="122" t="str">
        <f>'Raw Data For CCA'!B4</f>
        <v>NCC</v>
      </c>
      <c r="C9" s="123"/>
      <c r="D9" s="124">
        <f>'Raw Data For CCA'!C4</f>
        <v>308.64999999999998</v>
      </c>
      <c r="E9" s="124">
        <f>'Raw Data For CCA'!D4</f>
        <v>62.78</v>
      </c>
      <c r="F9" s="125">
        <f>D9*E9</f>
        <v>19377.046999999999</v>
      </c>
      <c r="G9" s="124">
        <f>'Raw Data For CCA'!H4</f>
        <v>-169.52999999999997</v>
      </c>
      <c r="H9" s="126">
        <f>F9+G9</f>
        <v>19207.517</v>
      </c>
      <c r="I9" s="126"/>
      <c r="J9" s="126">
        <f>'Raw Data For CCA'!K4</f>
        <v>21992.55</v>
      </c>
      <c r="K9" s="124">
        <f>'Raw Data For CCA'!L4</f>
        <v>9.75</v>
      </c>
      <c r="L9" s="124">
        <f>'Raw Data For CCA'!M4</f>
        <v>740.41</v>
      </c>
      <c r="M9" s="127"/>
      <c r="N9" s="127"/>
      <c r="O9" s="128">
        <f>$H9/J9</f>
        <v>0.87336470759416263</v>
      </c>
      <c r="P9" s="128">
        <f>$H9/K9</f>
        <v>1970.0017435897437</v>
      </c>
      <c r="Q9" s="128">
        <f t="shared" ref="Q9:Q16" si="0">F9/L9</f>
        <v>26.170698666954795</v>
      </c>
    </row>
    <row r="10" spans="1:17" x14ac:dyDescent="0.25">
      <c r="B10" s="80" t="str">
        <f>'Raw Data For CCA'!B5</f>
        <v>National Standar</v>
      </c>
      <c r="C10" s="66"/>
      <c r="D10" s="81">
        <f>'Raw Data For CCA'!C5</f>
        <v>4538.05</v>
      </c>
      <c r="E10" s="81">
        <f>'Raw Data For CCA'!D5</f>
        <v>2</v>
      </c>
      <c r="F10" s="96">
        <f t="shared" ref="F10:F16" si="1">D10*E10</f>
        <v>9076.1</v>
      </c>
      <c r="G10" s="81">
        <f>'Raw Data For CCA'!H5</f>
        <v>-1.02</v>
      </c>
      <c r="H10" s="84">
        <f t="shared" ref="H10:H16" si="2">F10+G10</f>
        <v>9075.08</v>
      </c>
      <c r="I10" s="84"/>
      <c r="J10" s="84">
        <f>'Raw Data For CCA'!K5</f>
        <v>20.96</v>
      </c>
      <c r="K10" s="81">
        <f>'Raw Data For CCA'!L5</f>
        <v>455.58</v>
      </c>
      <c r="L10" s="81">
        <f>'Raw Data For CCA'!M5</f>
        <v>14.74</v>
      </c>
      <c r="M10" s="85"/>
      <c r="N10" s="85"/>
      <c r="O10" s="86">
        <f t="shared" ref="O9:O16" si="3">$H10/J10</f>
        <v>432.9713740458015</v>
      </c>
      <c r="P10" s="86">
        <f t="shared" ref="P10:P16" si="4">$H10/K10</f>
        <v>19.919838447693053</v>
      </c>
      <c r="Q10" s="86">
        <f t="shared" si="0"/>
        <v>615.74626865671644</v>
      </c>
    </row>
    <row r="11" spans="1:17" x14ac:dyDescent="0.25">
      <c r="B11" s="80" t="str">
        <f>'Raw Data For CCA'!B6</f>
        <v>Mahindra Life.</v>
      </c>
      <c r="C11" s="66"/>
      <c r="D11" s="81">
        <f>'Raw Data For CCA'!C6</f>
        <v>575.45000000000005</v>
      </c>
      <c r="E11" s="81">
        <f>'Raw Data For CCA'!D6</f>
        <v>15.51</v>
      </c>
      <c r="F11" s="96">
        <f t="shared" si="1"/>
        <v>8925.2295000000013</v>
      </c>
      <c r="G11" s="81">
        <f>'Raw Data For CCA'!H6</f>
        <v>770.41</v>
      </c>
      <c r="H11" s="84">
        <f t="shared" si="2"/>
        <v>9695.6395000000011</v>
      </c>
      <c r="I11" s="84"/>
      <c r="J11" s="84">
        <f>'Raw Data For CCA'!K6</f>
        <v>302.19</v>
      </c>
      <c r="K11" s="81">
        <f>'Raw Data For CCA'!L6</f>
        <v>101.78</v>
      </c>
      <c r="L11" s="81">
        <f>'Raw Data For CCA'!M6</f>
        <v>98.3</v>
      </c>
      <c r="M11" s="85"/>
      <c r="N11" s="85"/>
      <c r="O11" s="86">
        <f t="shared" si="3"/>
        <v>32.084580892815779</v>
      </c>
      <c r="P11" s="86">
        <f t="shared" si="4"/>
        <v>95.260753586166246</v>
      </c>
      <c r="Q11" s="86">
        <f t="shared" si="0"/>
        <v>90.795824008138368</v>
      </c>
    </row>
    <row r="12" spans="1:17" x14ac:dyDescent="0.25">
      <c r="A12" s="71"/>
      <c r="B12" s="80" t="str">
        <f>'Raw Data For CCA'!B7</f>
        <v>Man Infra</v>
      </c>
      <c r="C12" s="66"/>
      <c r="D12" s="81">
        <f>'Raw Data For CCA'!C7</f>
        <v>192.58</v>
      </c>
      <c r="E12" s="81">
        <f>'Raw Data For CCA'!D7</f>
        <v>37.22</v>
      </c>
      <c r="F12" s="96">
        <f t="shared" si="1"/>
        <v>7167.8276000000005</v>
      </c>
      <c r="G12" s="81">
        <f>'Raw Data For CCA'!H7</f>
        <v>-417.66999999999996</v>
      </c>
      <c r="H12" s="84">
        <f t="shared" si="2"/>
        <v>6750.1576000000005</v>
      </c>
      <c r="I12" s="84"/>
      <c r="J12" s="84">
        <f>'Raw Data For CCA'!K7</f>
        <v>1095.4100000000001</v>
      </c>
      <c r="K12" s="81">
        <f>'Raw Data For CCA'!L7</f>
        <v>15.52</v>
      </c>
      <c r="L12" s="81">
        <f>'Raw Data For CCA'!M7</f>
        <v>303.33999999999997</v>
      </c>
      <c r="M12" s="85"/>
      <c r="N12" s="85"/>
      <c r="O12" s="86">
        <f t="shared" si="3"/>
        <v>6.1622201732684569</v>
      </c>
      <c r="P12" s="86">
        <f t="shared" si="4"/>
        <v>434.93283505154642</v>
      </c>
      <c r="Q12" s="86">
        <f t="shared" si="0"/>
        <v>23.629681545460542</v>
      </c>
    </row>
    <row r="13" spans="1:17" x14ac:dyDescent="0.25">
      <c r="A13" s="71"/>
      <c r="B13" s="80" t="str">
        <f>'Raw Data For CCA'!B8</f>
        <v>Ganesh Housing</v>
      </c>
      <c r="C13" s="66"/>
      <c r="D13" s="81">
        <f>'Raw Data For CCA'!C8</f>
        <v>855.3</v>
      </c>
      <c r="E13" s="81">
        <f>'Raw Data For CCA'!D8</f>
        <v>8.34</v>
      </c>
      <c r="F13" s="96">
        <f>D13*E13</f>
        <v>7133.2019999999993</v>
      </c>
      <c r="G13" s="81">
        <f>'Raw Data For CCA'!H8</f>
        <v>16.200000000000017</v>
      </c>
      <c r="H13" s="84">
        <f t="shared" si="2"/>
        <v>7149.4019999999991</v>
      </c>
      <c r="I13" s="84"/>
      <c r="J13" s="84">
        <f>'Raw Data For CCA'!K8</f>
        <v>835.7</v>
      </c>
      <c r="K13" s="81">
        <f>'Raw Data For CCA'!L8</f>
        <v>12.58</v>
      </c>
      <c r="L13" s="81">
        <f>'Raw Data For CCA'!M8</f>
        <v>460.71</v>
      </c>
      <c r="M13" s="85"/>
      <c r="N13" s="85"/>
      <c r="O13" s="86">
        <f t="shared" si="3"/>
        <v>8.5549862390810087</v>
      </c>
      <c r="P13" s="86">
        <f>$H13/K13</f>
        <v>568.3149443561208</v>
      </c>
      <c r="Q13" s="86">
        <f t="shared" si="0"/>
        <v>15.483063098261379</v>
      </c>
    </row>
    <row r="14" spans="1:17" x14ac:dyDescent="0.25">
      <c r="A14" s="71"/>
      <c r="B14" s="80" t="str">
        <f>'Raw Data For CCA'!B9</f>
        <v>Arkade</v>
      </c>
      <c r="C14" s="66"/>
      <c r="D14" s="81">
        <f>'Raw Data For CCA'!C9</f>
        <v>155.9</v>
      </c>
      <c r="E14" s="81">
        <f>'Raw Data For CCA'!D9</f>
        <v>18.57</v>
      </c>
      <c r="F14" s="96">
        <f t="shared" si="1"/>
        <v>2895.0630000000001</v>
      </c>
      <c r="G14" s="81">
        <f>'Raw Data For CCA'!H9</f>
        <v>46.370000000000005</v>
      </c>
      <c r="H14" s="84">
        <f t="shared" si="2"/>
        <v>2941.433</v>
      </c>
      <c r="I14" s="84"/>
      <c r="J14" s="84">
        <f>'Raw Data For CCA'!K9</f>
        <v>634.63</v>
      </c>
      <c r="K14" s="81">
        <f>'Raw Data For CCA'!L9</f>
        <v>17.37</v>
      </c>
      <c r="L14" s="81">
        <f>'Raw Data For CCA'!M9</f>
        <v>122.81</v>
      </c>
      <c r="M14" s="85"/>
      <c r="N14" s="85"/>
      <c r="O14" s="86">
        <f t="shared" si="3"/>
        <v>4.6348785906748811</v>
      </c>
      <c r="P14" s="86">
        <f t="shared" si="4"/>
        <v>169.33983880253308</v>
      </c>
      <c r="Q14" s="86">
        <f t="shared" si="0"/>
        <v>23.573511928996009</v>
      </c>
    </row>
    <row r="15" spans="1:17" x14ac:dyDescent="0.25">
      <c r="B15" s="80" t="str">
        <f>'Raw Data For CCA'!B10</f>
        <v>PSP Projects</v>
      </c>
      <c r="C15" s="66"/>
      <c r="D15" s="81">
        <f>'Raw Data For CCA'!C10</f>
        <v>666.85</v>
      </c>
      <c r="E15" s="81">
        <f>'Raw Data For CCA'!D10</f>
        <v>3.96</v>
      </c>
      <c r="F15" s="96">
        <f t="shared" si="1"/>
        <v>2640.7260000000001</v>
      </c>
      <c r="G15" s="81">
        <f>'Raw Data For CCA'!H10</f>
        <v>229.95999999999998</v>
      </c>
      <c r="H15" s="84">
        <f t="shared" si="2"/>
        <v>2870.6860000000001</v>
      </c>
      <c r="I15" s="84"/>
      <c r="J15" s="84">
        <f>'Raw Data For CCA'!K10</f>
        <v>2564.83</v>
      </c>
      <c r="K15" s="81">
        <f>'Raw Data For CCA'!L10</f>
        <v>9.81</v>
      </c>
      <c r="L15" s="81">
        <f>'Raw Data For CCA'!M10</f>
        <v>123.9</v>
      </c>
      <c r="M15" s="85"/>
      <c r="N15" s="85"/>
      <c r="O15" s="86">
        <f t="shared" si="3"/>
        <v>1.1192500087725112</v>
      </c>
      <c r="P15" s="86">
        <f t="shared" si="4"/>
        <v>292.62854230377167</v>
      </c>
      <c r="Q15" s="86">
        <f t="shared" si="0"/>
        <v>21.313365617433416</v>
      </c>
    </row>
    <row r="16" spans="1:17" x14ac:dyDescent="0.25">
      <c r="B16" s="80" t="str">
        <f>'Raw Data For CCA'!B11</f>
        <v>B.L.Kashyap</v>
      </c>
      <c r="C16" s="66"/>
      <c r="D16" s="81">
        <f>'Raw Data For CCA'!C11</f>
        <v>95.64</v>
      </c>
      <c r="E16" s="81">
        <f>'Raw Data For CCA'!D11</f>
        <v>22.54</v>
      </c>
      <c r="F16" s="96">
        <f t="shared" si="1"/>
        <v>2155.7255999999998</v>
      </c>
      <c r="G16" s="81">
        <f>'Raw Data For CCA'!H11</f>
        <v>276.78999999999996</v>
      </c>
      <c r="H16" s="84">
        <f t="shared" si="2"/>
        <v>2432.5155999999997</v>
      </c>
      <c r="I16" s="84"/>
      <c r="J16" s="84">
        <f>'Raw Data For CCA'!K11</f>
        <v>1342.11</v>
      </c>
      <c r="K16" s="81">
        <f>'Raw Data For CCA'!L11</f>
        <v>18.8</v>
      </c>
      <c r="L16" s="81">
        <f>'Raw Data For CCA'!M11</f>
        <v>52.53</v>
      </c>
      <c r="M16" s="85"/>
      <c r="N16" s="85"/>
      <c r="O16" s="86">
        <f t="shared" si="3"/>
        <v>1.8124562070173085</v>
      </c>
      <c r="P16" s="86">
        <f t="shared" si="4"/>
        <v>129.38912765957446</v>
      </c>
      <c r="Q16" s="86">
        <f t="shared" si="0"/>
        <v>41.037989720159906</v>
      </c>
    </row>
    <row r="17" spans="1:17" ht="6.75" customHeight="1" x14ac:dyDescent="0.25"/>
    <row r="18" spans="1:17" x14ac:dyDescent="0.25">
      <c r="B18" s="87" t="s">
        <v>145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8">
        <f>MAX(O8:O16)</f>
        <v>432.9713740458015</v>
      </c>
      <c r="P18" s="88">
        <f t="shared" ref="P18:Q18" si="5">MAX(P8:P16)</f>
        <v>3256.153748296229</v>
      </c>
      <c r="Q18" s="88">
        <f t="shared" si="5"/>
        <v>615.74626865671644</v>
      </c>
    </row>
    <row r="19" spans="1:17" x14ac:dyDescent="0.25">
      <c r="B19" s="87" t="s">
        <v>146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>
        <f>QUARTILE(O8:O16,3)</f>
        <v>12.415193153864809</v>
      </c>
      <c r="P19" s="87">
        <f t="shared" ref="P19:Q19" si="6">QUARTILE(P8:P16,3)</f>
        <v>568.3149443561208</v>
      </c>
      <c r="Q19" s="87">
        <f t="shared" si="6"/>
        <v>88.967370994723979</v>
      </c>
    </row>
    <row r="20" spans="1:17" x14ac:dyDescent="0.25">
      <c r="B20" s="87" t="s">
        <v>126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8">
        <f>AVERAGE(O8:O16)</f>
        <v>55.625367113210046</v>
      </c>
      <c r="P20" s="88">
        <f t="shared" ref="P20:Q20" si="7">AVERAGE(P8:P16)</f>
        <v>770.66015245481981</v>
      </c>
      <c r="Q20" s="88">
        <f t="shared" si="7"/>
        <v>105.19086380409387</v>
      </c>
    </row>
    <row r="21" spans="1:17" x14ac:dyDescent="0.25">
      <c r="B21" s="87" t="s">
        <v>123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>
        <f>QUARTILE(O8:O16,2)</f>
        <v>6.1622201732684569</v>
      </c>
      <c r="P21" s="87">
        <f t="shared" ref="P21:Q21" si="8">QUARTILE(P8:P16,2)</f>
        <v>292.62854230377167</v>
      </c>
      <c r="Q21" s="87">
        <f t="shared" si="8"/>
        <v>26.170698666954795</v>
      </c>
    </row>
    <row r="22" spans="1:17" x14ac:dyDescent="0.25">
      <c r="B22" s="87" t="s">
        <v>147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>
        <f>QUARTILE(O8:O16,1)</f>
        <v>1.8124562070173085</v>
      </c>
      <c r="P22" s="87">
        <f t="shared" ref="P22:Q22" si="9">QUARTILE(P8:P16,1)</f>
        <v>129.38912765957446</v>
      </c>
      <c r="Q22" s="87">
        <f t="shared" si="9"/>
        <v>23.573511928996009</v>
      </c>
    </row>
    <row r="23" spans="1:17" x14ac:dyDescent="0.25">
      <c r="B23" s="87" t="s">
        <v>148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8">
        <f>MIN(O8:O16)</f>
        <v>0.87336470759416263</v>
      </c>
      <c r="P23" s="88">
        <f t="shared" ref="P23:Q23" si="10">MIN(P8:P16)</f>
        <v>19.919838447693053</v>
      </c>
      <c r="Q23" s="88">
        <f t="shared" si="10"/>
        <v>15.483063098261379</v>
      </c>
    </row>
    <row r="25" spans="1:17" ht="17.25" x14ac:dyDescent="0.35">
      <c r="B25" s="89" t="s">
        <v>180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90" t="s">
        <v>149</v>
      </c>
      <c r="P25" s="90" t="s">
        <v>150</v>
      </c>
      <c r="Q25" s="90" t="s">
        <v>144</v>
      </c>
    </row>
    <row r="26" spans="1:17" ht="6" customHeight="1" x14ac:dyDescent="0.25"/>
    <row r="27" spans="1:17" x14ac:dyDescent="0.25">
      <c r="B27" s="91" t="s">
        <v>151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>
        <f>O$21*J9</f>
        <v>135522.93527161519</v>
      </c>
      <c r="P27" s="91">
        <f>P$21*K9</f>
        <v>2853.1282874617737</v>
      </c>
      <c r="Q27" s="92">
        <f>+Q28+Q29</f>
        <v>19207.517</v>
      </c>
    </row>
    <row r="28" spans="1:17" x14ac:dyDescent="0.25">
      <c r="A28" s="71"/>
      <c r="B28" s="91" t="s">
        <v>152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>
        <f>$G$9</f>
        <v>-169.52999999999997</v>
      </c>
      <c r="P28" s="92">
        <f>$G$9</f>
        <v>-169.52999999999997</v>
      </c>
      <c r="Q28" s="92">
        <f>$G$9</f>
        <v>-169.52999999999997</v>
      </c>
    </row>
    <row r="29" spans="1:17" x14ac:dyDescent="0.25">
      <c r="A29" s="71"/>
      <c r="B29" s="91" t="s">
        <v>153</v>
      </c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>
        <f>O27-O28</f>
        <v>135692.46527161519</v>
      </c>
      <c r="P29" s="92">
        <f>P27-P28</f>
        <v>3022.6582874617734</v>
      </c>
      <c r="Q29" s="92">
        <f>Q21*L9</f>
        <v>19377.046999999999</v>
      </c>
    </row>
    <row r="30" spans="1:17" x14ac:dyDescent="0.25">
      <c r="B30" s="91" t="s">
        <v>154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>
        <f>$E$9</f>
        <v>62.78</v>
      </c>
      <c r="P30" s="92">
        <f>$E$9</f>
        <v>62.78</v>
      </c>
      <c r="Q30" s="92">
        <f>$E$9</f>
        <v>62.78</v>
      </c>
    </row>
    <row r="31" spans="1:17" ht="8.25" customHeight="1" x14ac:dyDescent="0.25">
      <c r="O31" s="64"/>
      <c r="P31" s="64"/>
      <c r="Q31" s="64"/>
    </row>
    <row r="32" spans="1:17" s="65" customFormat="1" ht="17.25" x14ac:dyDescent="0.35">
      <c r="B32" s="93" t="s">
        <v>155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>
        <f>O29/O30</f>
        <v>2161.3963885252497</v>
      </c>
      <c r="P32" s="93">
        <f>P29/P30</f>
        <v>48.146834779575876</v>
      </c>
      <c r="Q32" s="93">
        <f>Q29/Q30</f>
        <v>308.64999999999998</v>
      </c>
    </row>
    <row r="33" spans="2:17" ht="6" customHeight="1" x14ac:dyDescent="0.25"/>
    <row r="34" spans="2:17" ht="17.25" x14ac:dyDescent="0.35">
      <c r="B34" s="99" t="s">
        <v>156</v>
      </c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 t="str">
        <f>IF(O32&gt;$D$9,"undervalued","overvalued")</f>
        <v>undervalued</v>
      </c>
      <c r="P34" s="94" t="str">
        <f>IF(P32&gt;$D$9,"undervalued","overvalued")</f>
        <v>overvalued</v>
      </c>
      <c r="Q34" s="94" t="str">
        <f>IF(Q32&gt;$D$9,"undervalued","overvalued")</f>
        <v>overvalued</v>
      </c>
    </row>
  </sheetData>
  <mergeCells count="4">
    <mergeCell ref="C5:H5"/>
    <mergeCell ref="J5:M5"/>
    <mergeCell ref="O5:P5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GROUP-16 DETAIL</vt:lpstr>
      <vt:lpstr>HistoricalFS</vt:lpstr>
      <vt:lpstr>Ratio Analysis</vt:lpstr>
      <vt:lpstr>Forecasting</vt:lpstr>
      <vt:lpstr>Data Sheet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ayaz</dc:creator>
  <cp:lastModifiedBy>NAMAHA SHIVAY</cp:lastModifiedBy>
  <cp:lastPrinted>2024-05-06T05:38:03Z</cp:lastPrinted>
  <dcterms:created xsi:type="dcterms:W3CDTF">2023-01-14T08:22:33Z</dcterms:created>
  <dcterms:modified xsi:type="dcterms:W3CDTF">2024-09-25T16:24:16Z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