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thokn\Desktop\"/>
    </mc:Choice>
  </mc:AlternateContent>
  <xr:revisionPtr revIDLastSave="0" documentId="8_{9193212D-BDA1-44B6-9D9E-A66214457F0A}" xr6:coauthVersionLast="36" xr6:coauthVersionMax="36" xr10:uidLastSave="{00000000-0000-0000-0000-000000000000}"/>
  <bookViews>
    <workbookView xWindow="930" yWindow="0" windowWidth="19200" windowHeight="11370" tabRatio="754" xr2:uid="{00000000-000D-0000-FFFF-FFFF00000000}"/>
  </bookViews>
  <sheets>
    <sheet name="Readme" sheetId="5" r:id="rId1"/>
    <sheet name="Two Phase Calculation" sheetId="2" r:id="rId2"/>
    <sheet name="Single Phase Gas Calculation" sheetId="3" r:id="rId3"/>
    <sheet name="Gas Density Calculator" sheetId="4" r:id="rId4"/>
  </sheets>
  <definedNames>
    <definedName name="GasSG">'Gas Density Calculator'!$C$7</definedName>
    <definedName name="Pr">'Gas Density Calculator'!$E$22</definedName>
    <definedName name="Pressure_Bara">'Gas Density Calculator'!$C$5</definedName>
    <definedName name="Pressure_psia">'Gas Density Calculator'!$E$5</definedName>
    <definedName name="Tr">'Gas Density Calculator'!$E$23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2" l="1"/>
  <c r="C15" i="2"/>
  <c r="C23" i="2" s="1"/>
  <c r="L62" i="4"/>
  <c r="E6" i="4"/>
  <c r="E23" i="4" s="1"/>
  <c r="E20" i="4"/>
  <c r="C20" i="4" s="1"/>
  <c r="E5" i="4"/>
  <c r="E22" i="4" s="1"/>
  <c r="E19" i="4"/>
  <c r="C19" i="4" s="1"/>
  <c r="Z10" i="4"/>
  <c r="Z8" i="4"/>
  <c r="C14" i="3"/>
  <c r="C20" i="3"/>
  <c r="C22" i="3" s="1"/>
  <c r="C24" i="3" s="1"/>
  <c r="C21" i="3"/>
  <c r="C16" i="2"/>
  <c r="C38" i="2" s="1"/>
  <c r="C39" i="2" s="1"/>
  <c r="C47" i="2"/>
  <c r="C48" i="2" s="1"/>
  <c r="C29" i="2"/>
  <c r="C38" i="3"/>
  <c r="C39" i="3" s="1"/>
  <c r="C40" i="3" s="1"/>
  <c r="C42" i="3" s="1"/>
  <c r="C29" i="3"/>
  <c r="C30" i="3" s="1"/>
  <c r="C31" i="3" s="1"/>
  <c r="C33" i="3" s="1"/>
  <c r="C24" i="2"/>
  <c r="J33" i="4" l="1"/>
  <c r="O29" i="4"/>
  <c r="I29" i="4"/>
  <c r="K29" i="4"/>
  <c r="M29" i="4"/>
  <c r="C26" i="2"/>
  <c r="L33" i="4" l="1"/>
  <c r="C30" i="2"/>
  <c r="C27" i="2"/>
  <c r="J34" i="4" l="1"/>
  <c r="L34" i="4" s="1"/>
  <c r="J35" i="4"/>
  <c r="L35" i="4" s="1"/>
  <c r="C49" i="2"/>
  <c r="C31" i="2"/>
  <c r="C40" i="2"/>
  <c r="C51" i="2"/>
  <c r="C33" i="2"/>
  <c r="C42" i="2"/>
  <c r="J36" i="4" l="1"/>
  <c r="L36" i="4" s="1"/>
  <c r="J37" i="4" l="1"/>
  <c r="L37" i="4" s="1"/>
  <c r="J38" i="4" l="1"/>
  <c r="L38" i="4" s="1"/>
  <c r="J39" i="4" l="1"/>
  <c r="L39" i="4" s="1"/>
  <c r="J40" i="4" l="1"/>
  <c r="L40" i="4" s="1"/>
  <c r="J41" i="4" l="1"/>
  <c r="L41" i="4" s="1"/>
  <c r="J42" i="4" l="1"/>
  <c r="L42" i="4" s="1"/>
  <c r="J43" i="4" l="1"/>
  <c r="L43" i="4" s="1"/>
  <c r="J44" i="4" l="1"/>
  <c r="L44" i="4" s="1"/>
  <c r="J45" i="4" l="1"/>
  <c r="L45" i="4" s="1"/>
  <c r="J46" i="4" l="1"/>
  <c r="L46" i="4" s="1"/>
  <c r="J47" i="4" l="1"/>
  <c r="L47" i="4" s="1"/>
  <c r="J48" i="4" l="1"/>
  <c r="L48" i="4" s="1"/>
  <c r="J49" i="4" l="1"/>
  <c r="L49" i="4" s="1"/>
  <c r="J50" i="4" l="1"/>
  <c r="L50" i="4" s="1"/>
  <c r="J51" i="4" l="1"/>
  <c r="L51" i="4" s="1"/>
  <c r="J52" i="4" s="1"/>
  <c r="L52" i="4" s="1"/>
  <c r="R32" i="4" l="1"/>
  <c r="P33" i="4"/>
  <c r="R33" i="4" s="1"/>
  <c r="P34" i="4" l="1"/>
  <c r="R34" i="4" s="1"/>
  <c r="P35" i="4" l="1"/>
  <c r="R35" i="4" s="1"/>
  <c r="P36" i="4" l="1"/>
  <c r="R36" i="4" s="1"/>
  <c r="P37" i="4" l="1"/>
  <c r="R37" i="4" s="1"/>
  <c r="P38" i="4" l="1"/>
  <c r="R38" i="4" s="1"/>
  <c r="P39" i="4" l="1"/>
  <c r="R39" i="4" s="1"/>
  <c r="P40" i="4" l="1"/>
  <c r="R40" i="4" s="1"/>
  <c r="P41" i="4" l="1"/>
  <c r="R41" i="4" s="1"/>
  <c r="P42" i="4" l="1"/>
  <c r="R42" i="4" s="1"/>
  <c r="P43" i="4" l="1"/>
  <c r="R43" i="4" s="1"/>
  <c r="P44" i="4" l="1"/>
  <c r="R44" i="4" s="1"/>
  <c r="P45" i="4" l="1"/>
  <c r="R45" i="4" s="1"/>
  <c r="P46" i="4" l="1"/>
  <c r="R46" i="4" s="1"/>
  <c r="P47" i="4" l="1"/>
  <c r="R47" i="4" s="1"/>
  <c r="P48" i="4" l="1"/>
  <c r="R48" i="4" s="1"/>
  <c r="P49" i="4" l="1"/>
  <c r="R49" i="4" s="1"/>
  <c r="P50" i="4" s="1"/>
  <c r="R50" i="4" s="1"/>
  <c r="P51" i="4" l="1"/>
  <c r="R51" i="4" s="1"/>
  <c r="P52" i="4" s="1"/>
  <c r="R52" i="4" s="1"/>
  <c r="E27" i="4" s="1"/>
  <c r="E57" i="4" s="1"/>
  <c r="E62" i="4" s="1"/>
  <c r="C62" i="4" s="1"/>
  <c r="C9" i="4" s="1"/>
</calcChain>
</file>

<file path=xl/sharedStrings.xml><?xml version="1.0" encoding="utf-8"?>
<sst xmlns="http://schemas.openxmlformats.org/spreadsheetml/2006/main" count="368" uniqueCount="232">
  <si>
    <t>Readme</t>
  </si>
  <si>
    <t>This spreadsheet is to support the calculation of the maximum well head pressure in a well. The methodology for this calculation is described in the following link</t>
  </si>
  <si>
    <t xml:space="preserve"> Best Practice Document: Well and Network Creation, Maintenance and Usage</t>
  </si>
  <si>
    <t>This  Excel sheet is (lightly) password protected - Unlock if required using "psc2016"</t>
  </si>
  <si>
    <t>For any help or change proposals, please contact the Leading Advisor through the community site, Services@Statoil or by email</t>
  </si>
  <si>
    <t>Link to the community site:</t>
  </si>
  <si>
    <t xml:space="preserve">Well and Network Hydraulics </t>
  </si>
  <si>
    <t xml:space="preserve">Link to Yammer </t>
  </si>
  <si>
    <t>Production Technology site</t>
  </si>
  <si>
    <t>David Hume, 03/05/17</t>
  </si>
  <si>
    <t>Revison status:</t>
  </si>
  <si>
    <t>03/05/17: Readme section added &amp; password protection</t>
  </si>
  <si>
    <t>Max. WHP "Hand Calculation" for a Reservoir without Free Gas</t>
  </si>
  <si>
    <t>INPUT DATA</t>
  </si>
  <si>
    <t>Comments</t>
  </si>
  <si>
    <t>PVT data taken from Prosper</t>
  </si>
  <si>
    <t>CALCULATED DATA</t>
  </si>
  <si>
    <t>The oil gradient uses the oil density @ bubble point to give the highest possible value</t>
  </si>
  <si>
    <t>Paste Prosper PVT results in here if needed</t>
  </si>
  <si>
    <r>
      <t>The gas gradient initially uses the gas density @ Pb -</t>
    </r>
    <r>
      <rPr>
        <sz val="11"/>
        <color rgb="FFFF0000"/>
        <rFont val="Calibri"/>
        <family val="2"/>
        <scheme val="minor"/>
      </rPr>
      <t xml:space="preserve"> this  can be adjusted in a second iteration as required to an average column gas density value (once known)</t>
    </r>
  </si>
  <si>
    <t>e.g.</t>
  </si>
  <si>
    <t xml:space="preserve">                        #  PVT - Calculation Results  #</t>
  </si>
  <si>
    <t>Water is ignored in this calculation</t>
  </si>
  <si>
    <t xml:space="preserve">                        ###############################</t>
  </si>
  <si>
    <t>Input Data</t>
  </si>
  <si>
    <t xml:space="preserve">      </t>
  </si>
  <si>
    <t xml:space="preserve">     </t>
  </si>
  <si>
    <t xml:space="preserve">    </t>
  </si>
  <si>
    <t xml:space="preserve">    Gas</t>
  </si>
  <si>
    <t xml:space="preserve"> Bubble</t>
  </si>
  <si>
    <t xml:space="preserve">    Oil</t>
  </si>
  <si>
    <t xml:space="preserve">   Oil</t>
  </si>
  <si>
    <t xml:space="preserve">   Gas</t>
  </si>
  <si>
    <t>Reservoir Pressure</t>
  </si>
  <si>
    <t>Bara</t>
  </si>
  <si>
    <t xml:space="preserve"> Temperature</t>
  </si>
  <si>
    <t xml:space="preserve"> Pressure</t>
  </si>
  <si>
    <t xml:space="preserve">  Point</t>
  </si>
  <si>
    <t xml:space="preserve">   Ratio</t>
  </si>
  <si>
    <t xml:space="preserve"> Density</t>
  </si>
  <si>
    <t>Reservoir Temperature</t>
  </si>
  <si>
    <t>DegC</t>
  </si>
  <si>
    <t xml:space="preserve">   (deg C)</t>
  </si>
  <si>
    <t xml:space="preserve">  (BARa)</t>
  </si>
  <si>
    <t xml:space="preserve"> (BARa)</t>
  </si>
  <si>
    <t xml:space="preserve"> (Sm3/Sm3)</t>
  </si>
  <si>
    <t xml:space="preserve"> (Kg/m3)</t>
  </si>
  <si>
    <t>Well Depth</t>
  </si>
  <si>
    <t>mTVD RKB</t>
  </si>
  <si>
    <t xml:space="preserve"> -----------</t>
  </si>
  <si>
    <t xml:space="preserve"> --------</t>
  </si>
  <si>
    <t xml:space="preserve"> -------</t>
  </si>
  <si>
    <t xml:space="preserve"> ---------</t>
  </si>
  <si>
    <r>
      <t>Oil Density @ P</t>
    </r>
    <r>
      <rPr>
        <vertAlign val="subscript"/>
        <sz val="11"/>
        <color theme="1"/>
        <rFont val="Calibri"/>
        <family val="2"/>
        <scheme val="minor"/>
      </rPr>
      <t>B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</si>
  <si>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</si>
  <si>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Gas Density  @  P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*</t>
    </r>
  </si>
  <si>
    <t>Bubble Point Pressure</t>
  </si>
  <si>
    <t>Calculation</t>
  </si>
  <si>
    <t>Iteration 1</t>
  </si>
  <si>
    <t>Oil gradient</t>
  </si>
  <si>
    <t>Bar/m</t>
  </si>
  <si>
    <t>Gas gradient</t>
  </si>
  <si>
    <t>Single phase oil column height</t>
  </si>
  <si>
    <t>m</t>
  </si>
  <si>
    <t>Single phase gas column height</t>
  </si>
  <si>
    <r>
      <t>Single phase oil column</t>
    </r>
    <r>
      <rPr>
        <sz val="11"/>
        <color theme="1"/>
        <rFont val="Symbol"/>
        <family val="1"/>
        <charset val="2"/>
      </rPr>
      <t xml:space="preserve"> r</t>
    </r>
    <r>
      <rPr>
        <sz val="11"/>
        <color theme="1"/>
        <rFont val="Calibri"/>
        <family val="2"/>
        <scheme val="minor"/>
      </rPr>
      <t>gh</t>
    </r>
  </si>
  <si>
    <t>Bar</t>
  </si>
  <si>
    <r>
      <t xml:space="preserve">Single phase gas column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gh</t>
    </r>
  </si>
  <si>
    <t>=</t>
  </si>
  <si>
    <t>Max SIWHP (1st iteration) =</t>
  </si>
  <si>
    <t>Iteration 2</t>
  </si>
  <si>
    <t>Gas Density  @ WH</t>
  </si>
  <si>
    <t>Average Gas Density</t>
  </si>
  <si>
    <t>Max SIWHP (2nd iteration) =</t>
  </si>
  <si>
    <t>Iteration 3 (if needed)</t>
  </si>
  <si>
    <t>Max. WHP "Hand Calculation" for a Gas Reservoir or a Reservoir with Free Gas</t>
  </si>
  <si>
    <r>
      <t>The gas gradient initially uses the gas density @ Pb -</t>
    </r>
    <r>
      <rPr>
        <sz val="11"/>
        <color rgb="FFFF0000"/>
        <rFont val="Calibri"/>
        <family val="2"/>
        <scheme val="minor"/>
      </rPr>
      <t xml:space="preserve"> this  should be adjusted in a second iteration as required to an average column gas density value (once known)</t>
    </r>
  </si>
  <si>
    <t xml:space="preserve">    Z</t>
  </si>
  <si>
    <t xml:space="preserve"> Viscosity</t>
  </si>
  <si>
    <t xml:space="preserve">    FVF</t>
  </si>
  <si>
    <t xml:space="preserve"> Factor</t>
  </si>
  <si>
    <t xml:space="preserve">  (mPa.s)</t>
  </si>
  <si>
    <t xml:space="preserve"> (m3/Sm3)</t>
  </si>
  <si>
    <r>
      <t>Gas Density  @  P</t>
    </r>
    <r>
      <rPr>
        <vertAlign val="subscript"/>
        <sz val="11"/>
        <color theme="1"/>
        <rFont val="Calibri"/>
        <family val="2"/>
        <scheme val="minor"/>
      </rPr>
      <t>RES</t>
    </r>
    <r>
      <rPr>
        <sz val="11"/>
        <color rgb="FFFF0000"/>
        <rFont val="Calibri"/>
        <family val="2"/>
        <scheme val="minor"/>
      </rPr>
      <t>*</t>
    </r>
  </si>
  <si>
    <t>Simple Gas Density Calculator - Methodology similar to that used in Prosper</t>
  </si>
  <si>
    <t>Unit Conversions &amp; constants</t>
  </si>
  <si>
    <t>Pressure</t>
  </si>
  <si>
    <t>psia</t>
  </si>
  <si>
    <t>SI</t>
  </si>
  <si>
    <t>Field</t>
  </si>
  <si>
    <t>Temperature</t>
  </si>
  <si>
    <t>DegF</t>
  </si>
  <si>
    <t>Gas SG</t>
  </si>
  <si>
    <t>m3</t>
  </si>
  <si>
    <t>SCF</t>
  </si>
  <si>
    <t>BBL</t>
  </si>
  <si>
    <t>Gas Density</t>
  </si>
  <si>
    <r>
      <t>kg/m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</si>
  <si>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bar</t>
  </si>
  <si>
    <t>psi</t>
  </si>
  <si>
    <t>Sm3/Sm3</t>
  </si>
  <si>
    <t>scf/STB</t>
  </si>
  <si>
    <t>psig</t>
  </si>
  <si>
    <t>Barg</t>
  </si>
  <si>
    <t>Working/Comments</t>
  </si>
  <si>
    <t>degF</t>
  </si>
  <si>
    <t>degR</t>
  </si>
  <si>
    <t>Step 1: Critical P, T Values</t>
  </si>
  <si>
    <t>Ib/ft3</t>
  </si>
  <si>
    <t>Kg/m3</t>
  </si>
  <si>
    <t>lb/ft3</t>
  </si>
  <si>
    <t>g/cc</t>
  </si>
  <si>
    <t>Reduced T &amp; P</t>
  </si>
  <si>
    <t>R</t>
  </si>
  <si>
    <t>psia.ft3/(lb-mol.R)</t>
  </si>
  <si>
    <t>ft3/scf</t>
  </si>
  <si>
    <t>m3/Sm3</t>
  </si>
  <si>
    <t>Brown</t>
  </si>
  <si>
    <t>Originally a chart! Using a curve fit expresion found in literature. Prosper uses its own curve fit</t>
  </si>
  <si>
    <r>
      <t>P</t>
    </r>
    <r>
      <rPr>
        <vertAlign val="subscript"/>
        <sz val="10"/>
        <color theme="1"/>
        <rFont val="Arial"/>
        <family val="2"/>
      </rPr>
      <t>Pc</t>
    </r>
  </si>
  <si>
    <t>No corrections for impurities included in this simplified methodology</t>
  </si>
  <si>
    <r>
      <t>T</t>
    </r>
    <r>
      <rPr>
        <vertAlign val="subscript"/>
        <sz val="10"/>
        <color theme="1"/>
        <rFont val="Arial"/>
        <family val="2"/>
      </rPr>
      <t>Pc</t>
    </r>
  </si>
  <si>
    <t>degC</t>
  </si>
  <si>
    <t>lb</t>
  </si>
  <si>
    <t>kg</t>
  </si>
  <si>
    <t>ft</t>
  </si>
  <si>
    <t>Pr</t>
  </si>
  <si>
    <t>Tr</t>
  </si>
  <si>
    <t>Step 2: Z factor</t>
  </si>
  <si>
    <t>Dranchuk, Purves &amp; Robinson</t>
  </si>
  <si>
    <t>A1</t>
  </si>
  <si>
    <t>A2</t>
  </si>
  <si>
    <t>A3</t>
  </si>
  <si>
    <t>A4</t>
  </si>
  <si>
    <t>A5</t>
  </si>
  <si>
    <t>A6</t>
  </si>
  <si>
    <t>A7</t>
  </si>
  <si>
    <t>A8</t>
  </si>
  <si>
    <t>T1</t>
  </si>
  <si>
    <t>T2</t>
  </si>
  <si>
    <t>T3</t>
  </si>
  <si>
    <t>T4</t>
  </si>
  <si>
    <t>Iteration</t>
  </si>
  <si>
    <t>zguess</t>
  </si>
  <si>
    <t>z20</t>
  </si>
  <si>
    <t>Y1</t>
  </si>
  <si>
    <t>z1</t>
  </si>
  <si>
    <t>Y21</t>
  </si>
  <si>
    <t>z21</t>
  </si>
  <si>
    <t>Y2</t>
  </si>
  <si>
    <t>z2</t>
  </si>
  <si>
    <t>Y22</t>
  </si>
  <si>
    <t>z22</t>
  </si>
  <si>
    <t>Y3</t>
  </si>
  <si>
    <t>z3</t>
  </si>
  <si>
    <t>Y23</t>
  </si>
  <si>
    <t>z23</t>
  </si>
  <si>
    <t>Y4</t>
  </si>
  <si>
    <t>z4</t>
  </si>
  <si>
    <t>Y24</t>
  </si>
  <si>
    <t>z24</t>
  </si>
  <si>
    <t>Y5</t>
  </si>
  <si>
    <t>z5</t>
  </si>
  <si>
    <t>Y25</t>
  </si>
  <si>
    <t>z25</t>
  </si>
  <si>
    <t>Y6</t>
  </si>
  <si>
    <t>z6</t>
  </si>
  <si>
    <t>Y26</t>
  </si>
  <si>
    <t>z26</t>
  </si>
  <si>
    <t>Y7</t>
  </si>
  <si>
    <t>z7</t>
  </si>
  <si>
    <t>Y27</t>
  </si>
  <si>
    <t>z27</t>
  </si>
  <si>
    <t>Y8</t>
  </si>
  <si>
    <t>z8</t>
  </si>
  <si>
    <t>Y28</t>
  </si>
  <si>
    <t>z28</t>
  </si>
  <si>
    <t>Y9</t>
  </si>
  <si>
    <t>z9</t>
  </si>
  <si>
    <t>Y29</t>
  </si>
  <si>
    <t>z29</t>
  </si>
  <si>
    <t>Y10</t>
  </si>
  <si>
    <t>z10</t>
  </si>
  <si>
    <t>Y30</t>
  </si>
  <si>
    <t>z30</t>
  </si>
  <si>
    <t>Y11</t>
  </si>
  <si>
    <t>z11</t>
  </si>
  <si>
    <t>Y31</t>
  </si>
  <si>
    <t>z31</t>
  </si>
  <si>
    <t>Y12</t>
  </si>
  <si>
    <t>z12</t>
  </si>
  <si>
    <t>Y32</t>
  </si>
  <si>
    <t>z32</t>
  </si>
  <si>
    <t>Y13</t>
  </si>
  <si>
    <t>z13</t>
  </si>
  <si>
    <t>Y33</t>
  </si>
  <si>
    <t>z33</t>
  </si>
  <si>
    <t>Y14</t>
  </si>
  <si>
    <t>z14</t>
  </si>
  <si>
    <t>Y34</t>
  </si>
  <si>
    <t>z34</t>
  </si>
  <si>
    <t>Y15</t>
  </si>
  <si>
    <t>z15</t>
  </si>
  <si>
    <t>Y35</t>
  </si>
  <si>
    <t>z35</t>
  </si>
  <si>
    <t>Y16</t>
  </si>
  <si>
    <t>z16</t>
  </si>
  <si>
    <t>Y36</t>
  </si>
  <si>
    <t>z36</t>
  </si>
  <si>
    <t>Y17</t>
  </si>
  <si>
    <t>z17</t>
  </si>
  <si>
    <t>Y37</t>
  </si>
  <si>
    <t>z37</t>
  </si>
  <si>
    <t>Y18</t>
  </si>
  <si>
    <t>z18</t>
  </si>
  <si>
    <t>Y38</t>
  </si>
  <si>
    <t>z38</t>
  </si>
  <si>
    <t>Y19</t>
  </si>
  <si>
    <t>z19</t>
  </si>
  <si>
    <t>Y39</t>
  </si>
  <si>
    <t>z39</t>
  </si>
  <si>
    <t>Y20</t>
  </si>
  <si>
    <t>Y40</t>
  </si>
  <si>
    <t>z40</t>
  </si>
  <si>
    <t>Step 3: Bg</t>
  </si>
  <si>
    <t>Bg (P1,T1)</t>
  </si>
  <si>
    <t>a</t>
  </si>
  <si>
    <t>---&gt;</t>
  </si>
  <si>
    <t>Zsc =</t>
  </si>
  <si>
    <t>Step 4: Density</t>
  </si>
  <si>
    <t>Rhog (P1, T1)</t>
  </si>
  <si>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Arial"/>
        <family val="2"/>
      </rPr>
      <t>air(sg)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</si>
</sst>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"/>
    <numFmt numFmtId="167" formatCode="0.0000000"/>
    <numFmt numFmtId="168" formatCode="0.0000"/>
    <numFmt numFmtId="169" formatCode="0.000000"/>
  </numFmts>
  <fonts count="3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sz val="10"/>
      <color theme="1"/>
      <name val="Symbol"/>
      <family val="1"/>
      <charset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theme="1"/>
      <name val="Arial"/>
      <family val="1"/>
      <charset val="2"/>
    </font>
    <font>
      <sz val="10"/>
      <color theme="1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0" fillId="4" borderId="0" applyNumberFormat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21" fillId="2" borderId="1" applyNumberFormat="0" applyAlignment="0" applyProtection="0"/>
    <xf numFmtId="0" fontId="22" fillId="3" borderId="1" applyNumberFormat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0" borderId="6" applyNumberFormat="0" applyFill="0" applyAlignment="0" applyProtection="0"/>
    <xf numFmtId="9" fontId="19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1"/>
    <xf numFmtId="2" fontId="2" fillId="3" borderId="1" xfId="2" applyNumberFormat="1"/>
    <xf numFmtId="164" fontId="2" fillId="3" borderId="1" xfId="2" applyNumberFormat="1"/>
    <xf numFmtId="165" fontId="2" fillId="3" borderId="1" xfId="2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1" fillId="2" borderId="1" xfId="1" applyNumberFormat="1"/>
    <xf numFmtId="0" fontId="0" fillId="0" borderId="0" xfId="0" quotePrefix="1" applyAlignment="1">
      <alignment horizontal="center"/>
    </xf>
    <xf numFmtId="0" fontId="7" fillId="0" borderId="0" xfId="0" applyFont="1"/>
    <xf numFmtId="2" fontId="8" fillId="3" borderId="1" xfId="2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10" fillId="6" borderId="0" xfId="3" applyFill="1"/>
    <xf numFmtId="0" fontId="0" fillId="0" borderId="0" xfId="0" applyAlignment="1">
      <alignment horizontal="center"/>
    </xf>
    <xf numFmtId="0" fontId="14" fillId="0" borderId="0" xfId="0" applyFont="1"/>
    <xf numFmtId="2" fontId="2" fillId="3" borderId="1" xfId="2" applyNumberFormat="1" applyAlignment="1">
      <alignment horizontal="center"/>
    </xf>
    <xf numFmtId="0" fontId="17" fillId="0" borderId="0" xfId="0" applyFont="1" applyAlignment="1"/>
    <xf numFmtId="0" fontId="15" fillId="0" borderId="0" xfId="0" applyFont="1" applyAlignment="1"/>
    <xf numFmtId="167" fontId="0" fillId="0" borderId="0" xfId="0" applyNumberFormat="1" applyAlignment="1">
      <alignment horizontal="left"/>
    </xf>
    <xf numFmtId="166" fontId="2" fillId="3" borderId="1" xfId="2" applyNumberFormat="1" applyAlignment="1">
      <alignment horizontal="center"/>
    </xf>
    <xf numFmtId="0" fontId="19" fillId="0" borderId="0" xfId="4"/>
    <xf numFmtId="0" fontId="27" fillId="0" borderId="0" xfId="4" applyFont="1" applyAlignment="1">
      <alignment horizontal="center"/>
    </xf>
    <xf numFmtId="0" fontId="0" fillId="6" borderId="0" xfId="3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28" fillId="0" borderId="0" xfId="4" applyFont="1"/>
    <xf numFmtId="168" fontId="29" fillId="3" borderId="1" xfId="7" applyNumberFormat="1" applyFont="1" applyAlignment="1">
      <alignment horizontal="center"/>
    </xf>
    <xf numFmtId="0" fontId="28" fillId="0" borderId="0" xfId="4" applyFont="1" applyAlignment="1">
      <alignment horizontal="center"/>
    </xf>
    <xf numFmtId="0" fontId="30" fillId="2" borderId="1" xfId="6" applyFont="1" applyAlignment="1">
      <alignment horizontal="center"/>
    </xf>
    <xf numFmtId="168" fontId="30" fillId="2" borderId="1" xfId="6" applyNumberFormat="1" applyFont="1" applyAlignment="1">
      <alignment horizontal="center"/>
    </xf>
    <xf numFmtId="0" fontId="29" fillId="3" borderId="1" xfId="7" applyFont="1" applyAlignment="1">
      <alignment horizontal="center"/>
    </xf>
    <xf numFmtId="169" fontId="30" fillId="2" borderId="1" xfId="6" applyNumberFormat="1" applyFont="1" applyAlignment="1">
      <alignment horizontal="center"/>
    </xf>
    <xf numFmtId="169" fontId="29" fillId="3" borderId="1" xfId="7" applyNumberFormat="1" applyFont="1" applyAlignment="1">
      <alignment horizontal="center"/>
    </xf>
    <xf numFmtId="0" fontId="28" fillId="0" borderId="0" xfId="4" quotePrefix="1" applyFont="1" applyAlignment="1">
      <alignment horizontal="center"/>
    </xf>
    <xf numFmtId="169" fontId="29" fillId="3" borderId="1" xfId="7" applyNumberFormat="1" applyFont="1"/>
    <xf numFmtId="0" fontId="28" fillId="0" borderId="0" xfId="4" applyFont="1" applyAlignment="1">
      <alignment horizontal="left"/>
    </xf>
    <xf numFmtId="0" fontId="18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/>
    <xf numFmtId="0" fontId="32" fillId="0" borderId="0" xfId="0" applyFont="1"/>
    <xf numFmtId="0" fontId="33" fillId="2" borderId="1" xfId="1" applyFont="1" applyAlignment="1">
      <alignment horizontal="center"/>
    </xf>
    <xf numFmtId="0" fontId="8" fillId="3" borderId="1" xfId="2" applyFont="1" applyAlignment="1">
      <alignment horizontal="center"/>
    </xf>
    <xf numFmtId="2" fontId="8" fillId="3" borderId="1" xfId="2" applyNumberFormat="1" applyFont="1" applyAlignment="1">
      <alignment horizontal="center"/>
    </xf>
    <xf numFmtId="0" fontId="35" fillId="9" borderId="7" xfId="0" applyFont="1" applyFill="1" applyBorder="1"/>
    <xf numFmtId="0" fontId="0" fillId="9" borderId="0" xfId="0" applyFill="1"/>
    <xf numFmtId="0" fontId="0" fillId="9" borderId="0" xfId="0" applyFill="1" applyAlignment="1">
      <alignment wrapText="1"/>
    </xf>
    <xf numFmtId="0" fontId="36" fillId="9" borderId="0" xfId="12" applyFill="1" applyAlignment="1">
      <alignment wrapText="1"/>
    </xf>
    <xf numFmtId="0" fontId="36" fillId="9" borderId="0" xfId="12" applyFill="1"/>
    <xf numFmtId="0" fontId="11" fillId="9" borderId="7" xfId="0" applyFont="1" applyFill="1" applyBorder="1"/>
    <xf numFmtId="0" fontId="18" fillId="9" borderId="0" xfId="0" applyFont="1" applyFill="1"/>
    <xf numFmtId="0" fontId="15" fillId="0" borderId="0" xfId="0" applyFont="1" applyAlignment="1">
      <alignment horizontal="center"/>
    </xf>
    <xf numFmtId="0" fontId="1" fillId="2" borderId="8" xfId="1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0" xfId="0" applyAlignment="1">
      <alignment horizontal="left" wrapText="1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15" fillId="0" borderId="0" xfId="0" applyFont="1" applyAlignment="1">
      <alignment horizontal="center"/>
    </xf>
  </cellXfs>
  <cellStyles count="13">
    <cellStyle name="20% - Accent3" xfId="3" builtinId="38"/>
    <cellStyle name="Bad 2" xfId="8" xr:uid="{00000000-0005-0000-0000-000001000000}"/>
    <cellStyle name="Calculation" xfId="2" builtinId="22"/>
    <cellStyle name="Calculation 2" xfId="7" xr:uid="{00000000-0005-0000-0000-000003000000}"/>
    <cellStyle name="Good 2" xfId="5" xr:uid="{00000000-0005-0000-0000-000004000000}"/>
    <cellStyle name="Hyperlink" xfId="12" builtinId="8"/>
    <cellStyle name="Input" xfId="1" builtinId="20"/>
    <cellStyle name="Input 2" xfId="6" xr:uid="{00000000-0005-0000-0000-000007000000}"/>
    <cellStyle name="Linked Cell 2" xfId="10" xr:uid="{00000000-0005-0000-0000-000008000000}"/>
    <cellStyle name="Neutral 2" xfId="9" xr:uid="{00000000-0005-0000-0000-000009000000}"/>
    <cellStyle name="Normal" xfId="0" builtinId="0"/>
    <cellStyle name="Normal 2" xfId="4" xr:uid="{00000000-0005-0000-0000-00000B000000}"/>
    <cellStyle name="Percent 2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xVal>
            <c:numRef>
              <c:f>('Gas Density Calculator'!$H$33:$H$52,'Gas Density Calculator'!$N$33:$N$52)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('Gas Density Calculator'!$L$33:$L$52,'Gas Density Calculator'!$R$33:$R$52)</c:f>
              <c:numCache>
                <c:formatCode>0.000000</c:formatCode>
                <c:ptCount val="40"/>
                <c:pt idx="0">
                  <c:v>0.88359045771946321</c:v>
                </c:pt>
                <c:pt idx="1">
                  <c:v>0.90976270120216451</c:v>
                </c:pt>
                <c:pt idx="2">
                  <c:v>0.93720835412082648</c:v>
                </c:pt>
                <c:pt idx="3">
                  <c:v>0.92001142372590194</c:v>
                </c:pt>
                <c:pt idx="4">
                  <c:v>0.91702969116723598</c:v>
                </c:pt>
                <c:pt idx="5">
                  <c:v>0.92298910737873152</c:v>
                </c:pt>
                <c:pt idx="6">
                  <c:v>0.92208684334096591</c:v>
                </c:pt>
                <c:pt idx="7">
                  <c:v>0.92057287168280144</c:v>
                </c:pt>
                <c:pt idx="8">
                  <c:v>0.92129335693882197</c:v>
                </c:pt>
                <c:pt idx="9">
                  <c:v>0.92153110530271976</c:v>
                </c:pt>
                <c:pt idx="10">
                  <c:v>0.92124406556394756</c:v>
                </c:pt>
                <c:pt idx="11">
                  <c:v>0.92125881068914062</c:v>
                </c:pt>
                <c:pt idx="12">
                  <c:v>0.92134030482443552</c:v>
                </c:pt>
                <c:pt idx="13">
                  <c:v>0.92131149408448554</c:v>
                </c:pt>
                <c:pt idx="14">
                  <c:v>0.92129572600693743</c:v>
                </c:pt>
                <c:pt idx="15">
                  <c:v>0.92130906823156034</c:v>
                </c:pt>
                <c:pt idx="16">
                  <c:v>0.92130979432887627</c:v>
                </c:pt>
                <c:pt idx="17">
                  <c:v>0.92130558352447434</c:v>
                </c:pt>
                <c:pt idx="18">
                  <c:v>0.92130662651927842</c:v>
                </c:pt>
                <c:pt idx="19">
                  <c:v>0.92130757467413993</c:v>
                </c:pt>
                <c:pt idx="20">
                  <c:v>0.92130669491266837</c:v>
                </c:pt>
                <c:pt idx="21">
                  <c:v>0.92130695823273123</c:v>
                </c:pt>
                <c:pt idx="22">
                  <c:v>0.92130714273928271</c:v>
                </c:pt>
                <c:pt idx="23">
                  <c:v>0.9213070087006473</c:v>
                </c:pt>
                <c:pt idx="24">
                  <c:v>0.9213069935951459</c:v>
                </c:pt>
                <c:pt idx="25">
                  <c:v>0.92130703823533477</c:v>
                </c:pt>
                <c:pt idx="26">
                  <c:v>0.92130702939533415</c:v>
                </c:pt>
                <c:pt idx="27">
                  <c:v>0.92130701868001319</c:v>
                </c:pt>
                <c:pt idx="28">
                  <c:v>0.9213070245330981</c:v>
                </c:pt>
                <c:pt idx="29">
                  <c:v>0.9213070259884093</c:v>
                </c:pt>
                <c:pt idx="30">
                  <c:v>0.92130702380094021</c:v>
                </c:pt>
                <c:pt idx="31">
                  <c:v>0.92130702402008158</c:v>
                </c:pt>
                <c:pt idx="32">
                  <c:v>0.92130702460921987</c:v>
                </c:pt>
                <c:pt idx="33">
                  <c:v>0.92130702436729472</c:v>
                </c:pt>
                <c:pt idx="34">
                  <c:v>0.92130702426337041</c:v>
                </c:pt>
                <c:pt idx="35">
                  <c:v>0.92130702436688627</c:v>
                </c:pt>
                <c:pt idx="36">
                  <c:v>0.92130702436700873</c:v>
                </c:pt>
                <c:pt idx="37">
                  <c:v>0.92130702433598866</c:v>
                </c:pt>
                <c:pt idx="38">
                  <c:v>0.9213070243452367</c:v>
                </c:pt>
                <c:pt idx="39">
                  <c:v>0.92130702435175316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9-4B5A-A07B-BA06C8BF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0960"/>
        <c:axId val="56282496"/>
      </c:scatterChart>
      <c:valAx>
        <c:axId val="56280960"/>
        <c:scaling>
          <c:orientation val="minMax"/>
          <c:max val="4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282496"/>
        <c:crosses val="autoZero"/>
        <c:crossBetween val="midCat"/>
      </c:valAx>
      <c:valAx>
        <c:axId val="5628249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6280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31</xdr:row>
      <xdr:rowOff>1</xdr:rowOff>
    </xdr:from>
    <xdr:to>
      <xdr:col>28</xdr:col>
      <xdr:colOff>352425</xdr:colOff>
      <xdr:row>51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am-2.statoil.com/sites/ts-44096/RecommendedPractise/_layouts/WordViewer.aspx?id=/sites/ts-44096/RecommendedPractise/recommended%20practices%20library/Best%20Practice%20Document%20Well%20and%20Network%20Models%20Creation%20Maintenance%20and%20Usag" TargetMode="External"/><Relationship Id="rId2" Type="http://schemas.openxmlformats.org/officeDocument/2006/relationships/hyperlink" Target="https://www.yammer.com/statoil.com/" TargetMode="External"/><Relationship Id="rId1" Type="http://schemas.openxmlformats.org/officeDocument/2006/relationships/hyperlink" Target="http://community.statoil.com/sites/cs-13/Pages/default.asp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2"/>
  <sheetViews>
    <sheetView tabSelected="1" workbookViewId="0">
      <selection activeCell="B10" sqref="B10"/>
    </sheetView>
  </sheetViews>
  <sheetFormatPr defaultRowHeight="15"/>
  <cols>
    <col min="1" max="1" width="9.140625" style="46"/>
    <col min="2" max="2" width="107.140625" style="46" customWidth="1"/>
    <col min="3" max="16384" width="9.140625" style="46"/>
  </cols>
  <sheetData>
    <row r="2" spans="2:2" ht="31.5">
      <c r="B2" s="45" t="s">
        <v>0</v>
      </c>
    </row>
    <row r="4" spans="2:2" ht="30">
      <c r="B4" s="47" t="s">
        <v>1</v>
      </c>
    </row>
    <row r="5" spans="2:2">
      <c r="B5" s="48" t="s">
        <v>2</v>
      </c>
    </row>
    <row r="7" spans="2:2">
      <c r="B7" s="47" t="s">
        <v>3</v>
      </c>
    </row>
    <row r="8" spans="2:2">
      <c r="B8" s="47"/>
    </row>
    <row r="9" spans="2:2" ht="30">
      <c r="B9" s="47" t="s">
        <v>4</v>
      </c>
    </row>
    <row r="10" spans="2:2">
      <c r="B10" s="47"/>
    </row>
    <row r="11" spans="2:2">
      <c r="B11" s="47" t="s">
        <v>5</v>
      </c>
    </row>
    <row r="12" spans="2:2">
      <c r="B12" s="48" t="s">
        <v>6</v>
      </c>
    </row>
    <row r="14" spans="2:2">
      <c r="B14" s="46" t="s">
        <v>7</v>
      </c>
    </row>
    <row r="15" spans="2:2">
      <c r="B15" s="49" t="s">
        <v>8</v>
      </c>
    </row>
    <row r="17" spans="1:2">
      <c r="B17" s="50"/>
    </row>
    <row r="18" spans="1:2">
      <c r="B18" s="46" t="s">
        <v>9</v>
      </c>
    </row>
    <row r="20" spans="1:2">
      <c r="B20" s="51" t="s">
        <v>10</v>
      </c>
    </row>
    <row r="21" spans="1:2">
      <c r="A21" s="46">
        <v>1</v>
      </c>
      <c r="B21" s="46" t="s">
        <v>11</v>
      </c>
    </row>
    <row r="22" spans="1:2">
      <c r="A22" s="46">
        <v>2</v>
      </c>
    </row>
  </sheetData>
  <hyperlinks>
    <hyperlink ref="B12" r:id="rId1" xr:uid="{00000000-0004-0000-0000-000000000000}"/>
    <hyperlink ref="B15" r:id="rId2" location="/threads/inGroup?type=in_group&amp;feedId=7994806&amp;view=all" xr:uid="{00000000-0004-0000-0000-000001000000}"/>
    <hyperlink ref="B5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1"/>
  <sheetViews>
    <sheetView workbookViewId="0">
      <selection activeCell="E22" sqref="E22"/>
    </sheetView>
  </sheetViews>
  <sheetFormatPr defaultRowHeight="15"/>
  <cols>
    <col min="2" max="2" width="42.85546875" customWidth="1"/>
    <col min="3" max="3" width="11.7109375" customWidth="1"/>
  </cols>
  <sheetData>
    <row r="1" spans="2:16" ht="26.25">
      <c r="B1" s="7" t="s">
        <v>12</v>
      </c>
    </row>
    <row r="2" spans="2:16">
      <c r="O2" s="53" t="s">
        <v>13</v>
      </c>
      <c r="P2" s="53"/>
    </row>
    <row r="3" spans="2:16" ht="18.75">
      <c r="B3" s="6" t="s">
        <v>14</v>
      </c>
      <c r="H3" s="10"/>
      <c r="I3" s="6" t="s">
        <v>15</v>
      </c>
      <c r="J3" s="10"/>
      <c r="O3" s="54" t="s">
        <v>16</v>
      </c>
      <c r="P3" s="54"/>
    </row>
    <row r="4" spans="2:16" ht="18.75" customHeight="1"/>
    <row r="5" spans="2:16">
      <c r="B5" s="13" t="s">
        <v>17</v>
      </c>
      <c r="C5" s="13"/>
      <c r="D5" s="13"/>
      <c r="E5" s="13"/>
      <c r="F5" s="13"/>
      <c r="I5" s="12" t="s">
        <v>18</v>
      </c>
    </row>
    <row r="6" spans="2:16" ht="15" customHeight="1">
      <c r="B6" s="55" t="s">
        <v>19</v>
      </c>
      <c r="C6" s="55"/>
      <c r="D6" s="55"/>
      <c r="E6" s="55"/>
      <c r="F6" s="55"/>
      <c r="G6" s="55"/>
      <c r="I6" s="24" t="s">
        <v>20</v>
      </c>
      <c r="J6" s="14"/>
      <c r="K6" s="14"/>
      <c r="L6" s="14"/>
      <c r="M6" s="14"/>
      <c r="N6" s="14"/>
      <c r="O6" s="14"/>
      <c r="P6" s="14"/>
    </row>
    <row r="7" spans="2:16">
      <c r="B7" s="55"/>
      <c r="C7" s="55"/>
      <c r="D7" s="55"/>
      <c r="E7" s="55"/>
      <c r="F7" s="55"/>
      <c r="G7" s="55"/>
      <c r="I7" s="14" t="s">
        <v>21</v>
      </c>
      <c r="J7" s="14"/>
      <c r="K7" s="14"/>
      <c r="L7" s="14"/>
      <c r="M7" s="14"/>
      <c r="N7" s="14"/>
      <c r="O7" s="14"/>
      <c r="P7" s="14"/>
    </row>
    <row r="8" spans="2:16">
      <c r="B8" s="13" t="s">
        <v>22</v>
      </c>
      <c r="C8" s="13"/>
      <c r="D8" s="13"/>
      <c r="E8" s="13"/>
      <c r="F8" s="13"/>
      <c r="I8" s="14" t="s">
        <v>23</v>
      </c>
      <c r="J8" s="14"/>
      <c r="K8" s="14"/>
      <c r="L8" s="14"/>
      <c r="M8" s="14"/>
      <c r="N8" s="14"/>
      <c r="O8" s="14"/>
      <c r="P8" s="14"/>
    </row>
    <row r="9" spans="2:16">
      <c r="I9" s="14"/>
      <c r="J9" s="14"/>
      <c r="K9" s="14"/>
      <c r="L9" s="14"/>
      <c r="M9" s="14"/>
      <c r="N9" s="14"/>
      <c r="O9" s="14"/>
      <c r="P9" s="14"/>
    </row>
    <row r="10" spans="2:16" ht="18.75">
      <c r="B10" s="6" t="s">
        <v>24</v>
      </c>
      <c r="C10" s="10"/>
      <c r="D10" s="10"/>
      <c r="I10" s="14" t="s">
        <v>25</v>
      </c>
      <c r="J10" s="14" t="s">
        <v>26</v>
      </c>
      <c r="K10" s="14" t="s">
        <v>27</v>
      </c>
      <c r="L10" s="14" t="s">
        <v>28</v>
      </c>
      <c r="M10" s="14" t="s">
        <v>27</v>
      </c>
      <c r="N10" s="14" t="s">
        <v>27</v>
      </c>
      <c r="O10" s="14"/>
      <c r="P10" s="14"/>
    </row>
    <row r="11" spans="2:16">
      <c r="I11" s="14" t="s">
        <v>25</v>
      </c>
      <c r="J11" s="14" t="s">
        <v>26</v>
      </c>
      <c r="K11" s="14" t="s">
        <v>29</v>
      </c>
      <c r="L11" s="14" t="s">
        <v>30</v>
      </c>
      <c r="M11" s="14" t="s">
        <v>31</v>
      </c>
      <c r="N11" s="14" t="s">
        <v>32</v>
      </c>
      <c r="O11" s="14"/>
      <c r="P11" s="14"/>
    </row>
    <row r="12" spans="2:16">
      <c r="B12" t="s">
        <v>33</v>
      </c>
      <c r="C12" s="1">
        <v>350</v>
      </c>
      <c r="D12" t="s">
        <v>34</v>
      </c>
      <c r="I12" s="14" t="s">
        <v>35</v>
      </c>
      <c r="J12" s="14" t="s">
        <v>36</v>
      </c>
      <c r="K12" s="14" t="s">
        <v>37</v>
      </c>
      <c r="L12" s="14" t="s">
        <v>38</v>
      </c>
      <c r="M12" s="14" t="s">
        <v>39</v>
      </c>
      <c r="N12" s="14" t="s">
        <v>39</v>
      </c>
      <c r="O12" s="14"/>
      <c r="P12" s="14"/>
    </row>
    <row r="13" spans="2:16">
      <c r="B13" t="s">
        <v>40</v>
      </c>
      <c r="C13" s="1">
        <v>100</v>
      </c>
      <c r="D13" t="s">
        <v>41</v>
      </c>
      <c r="I13" s="14" t="s">
        <v>42</v>
      </c>
      <c r="J13" s="14" t="s">
        <v>43</v>
      </c>
      <c r="K13" s="14" t="s">
        <v>44</v>
      </c>
      <c r="L13" s="14" t="s">
        <v>45</v>
      </c>
      <c r="M13" s="14" t="s">
        <v>46</v>
      </c>
      <c r="N13" s="14" t="s">
        <v>46</v>
      </c>
      <c r="O13" s="14"/>
      <c r="P13" s="14"/>
    </row>
    <row r="14" spans="2:16">
      <c r="B14" t="s">
        <v>47</v>
      </c>
      <c r="C14" s="1">
        <v>3500</v>
      </c>
      <c r="D14" t="s">
        <v>48</v>
      </c>
      <c r="I14" s="14" t="s">
        <v>49</v>
      </c>
      <c r="J14" s="14" t="s">
        <v>50</v>
      </c>
      <c r="K14" s="14" t="s">
        <v>51</v>
      </c>
      <c r="L14" s="14" t="s">
        <v>52</v>
      </c>
      <c r="M14" s="14" t="s">
        <v>51</v>
      </c>
      <c r="N14" s="14" t="s">
        <v>51</v>
      </c>
      <c r="O14" s="14"/>
      <c r="P14" s="14"/>
    </row>
    <row r="15" spans="2:16" ht="18.75">
      <c r="B15" t="s">
        <v>53</v>
      </c>
      <c r="C15" s="8">
        <f>M28</f>
        <v>719.92600000000004</v>
      </c>
      <c r="D15" t="s">
        <v>54</v>
      </c>
      <c r="I15" s="14">
        <v>100</v>
      </c>
      <c r="J15" s="14">
        <v>50</v>
      </c>
      <c r="K15" s="14">
        <v>192.66499999999999</v>
      </c>
      <c r="L15" s="14">
        <v>24.043600000000001</v>
      </c>
      <c r="M15" s="14">
        <v>792.81600000000003</v>
      </c>
      <c r="N15" s="14">
        <v>37.768599999999999</v>
      </c>
      <c r="O15" s="14"/>
      <c r="P15" s="14"/>
    </row>
    <row r="16" spans="2:16" ht="18.75">
      <c r="B16" t="s">
        <v>55</v>
      </c>
      <c r="C16" s="8">
        <f>N28</f>
        <v>158.03700000000001</v>
      </c>
      <c r="D16" t="s">
        <v>54</v>
      </c>
      <c r="I16" s="14">
        <v>100</v>
      </c>
      <c r="J16" s="14">
        <v>100</v>
      </c>
      <c r="K16" s="14">
        <v>192.66499999999999</v>
      </c>
      <c r="L16" s="14">
        <v>47.728700000000003</v>
      </c>
      <c r="M16" s="14">
        <v>770.303</v>
      </c>
      <c r="N16" s="14">
        <v>80.2303</v>
      </c>
      <c r="O16" s="14"/>
      <c r="P16" s="14"/>
    </row>
    <row r="17" spans="2:16">
      <c r="B17" t="s">
        <v>56</v>
      </c>
      <c r="C17" s="8">
        <f>K15</f>
        <v>192.66499999999999</v>
      </c>
      <c r="D17" t="s">
        <v>34</v>
      </c>
      <c r="I17" s="14">
        <v>100</v>
      </c>
      <c r="J17" s="14">
        <v>150</v>
      </c>
      <c r="K17" s="14">
        <v>192.66499999999999</v>
      </c>
      <c r="L17" s="14">
        <v>74.4435</v>
      </c>
      <c r="M17" s="14">
        <v>744.11500000000001</v>
      </c>
      <c r="N17" s="14">
        <v>123.762</v>
      </c>
      <c r="O17" s="14"/>
      <c r="P17" s="14"/>
    </row>
    <row r="18" spans="2:16">
      <c r="I18" s="14">
        <v>100</v>
      </c>
      <c r="J18" s="14">
        <v>200</v>
      </c>
      <c r="K18" s="14">
        <v>192.66499999999999</v>
      </c>
      <c r="L18" s="14">
        <v>100</v>
      </c>
      <c r="M18" s="14">
        <v>721.13900000000001</v>
      </c>
      <c r="N18" s="14">
        <v>163.50200000000001</v>
      </c>
      <c r="O18" s="14"/>
      <c r="P18" s="14"/>
    </row>
    <row r="19" spans="2:16" ht="18.75">
      <c r="B19" s="6" t="s">
        <v>57</v>
      </c>
      <c r="C19" s="10"/>
      <c r="D19" s="10"/>
      <c r="I19" s="14">
        <v>100</v>
      </c>
      <c r="J19" s="14">
        <v>250</v>
      </c>
      <c r="K19" s="14">
        <v>192.66499999999999</v>
      </c>
      <c r="L19" s="14">
        <v>100</v>
      </c>
      <c r="M19" s="14">
        <v>727.54600000000005</v>
      </c>
      <c r="N19" s="14">
        <v>197.09299999999999</v>
      </c>
      <c r="O19" s="14"/>
      <c r="P19" s="14"/>
    </row>
    <row r="20" spans="2:16">
      <c r="I20" s="14">
        <v>100</v>
      </c>
      <c r="J20" s="14">
        <v>300</v>
      </c>
      <c r="K20" s="14">
        <v>192.66499999999999</v>
      </c>
      <c r="L20" s="14">
        <v>100</v>
      </c>
      <c r="M20" s="14">
        <v>731.84900000000005</v>
      </c>
      <c r="N20" s="14">
        <v>224.721</v>
      </c>
      <c r="O20" s="14"/>
      <c r="P20" s="14"/>
    </row>
    <row r="21" spans="2:16">
      <c r="B21" s="16" t="s">
        <v>58</v>
      </c>
      <c r="I21" s="14">
        <v>100</v>
      </c>
      <c r="J21" s="14">
        <v>350</v>
      </c>
      <c r="K21" s="14">
        <v>192.66499999999999</v>
      </c>
      <c r="L21" s="14">
        <v>100</v>
      </c>
      <c r="M21" s="14">
        <v>734.93799999999999</v>
      </c>
      <c r="N21" s="14">
        <v>247.44800000000001</v>
      </c>
      <c r="O21" s="14"/>
      <c r="P21" s="14"/>
    </row>
    <row r="22" spans="2:16" ht="15" customHeight="1">
      <c r="I22" s="14">
        <v>100</v>
      </c>
      <c r="J22" s="14">
        <v>400</v>
      </c>
      <c r="K22" s="14">
        <v>192.66499999999999</v>
      </c>
      <c r="L22" s="14">
        <v>100</v>
      </c>
      <c r="M22" s="14">
        <v>737.26400000000001</v>
      </c>
      <c r="N22" s="14">
        <v>266.36200000000002</v>
      </c>
      <c r="O22" s="14"/>
      <c r="P22" s="14"/>
    </row>
    <row r="23" spans="2:16">
      <c r="B23" t="s">
        <v>59</v>
      </c>
      <c r="C23" s="3">
        <f>C15*9.81/10^5</f>
        <v>7.0624740599999999E-2</v>
      </c>
      <c r="D23" t="s">
        <v>60</v>
      </c>
      <c r="I23" s="14">
        <v>100</v>
      </c>
      <c r="J23" s="14">
        <v>450</v>
      </c>
      <c r="K23" s="14">
        <v>192.66499999999999</v>
      </c>
      <c r="L23" s="14">
        <v>100</v>
      </c>
      <c r="M23" s="14">
        <v>739.077</v>
      </c>
      <c r="N23" s="14">
        <v>282.35199999999998</v>
      </c>
      <c r="O23" s="14"/>
      <c r="P23" s="14"/>
    </row>
    <row r="24" spans="2:16">
      <c r="B24" t="s">
        <v>61</v>
      </c>
      <c r="C24" s="3">
        <f>C16*9.81/10^5</f>
        <v>1.5503429700000002E-2</v>
      </c>
      <c r="D24" t="s">
        <v>60</v>
      </c>
      <c r="I24" s="14">
        <v>100</v>
      </c>
      <c r="J24" s="14">
        <v>500</v>
      </c>
      <c r="K24" s="14">
        <v>192.66499999999999</v>
      </c>
      <c r="L24" s="14">
        <v>100</v>
      </c>
      <c r="M24" s="14">
        <v>740.53200000000004</v>
      </c>
      <c r="N24" s="14">
        <v>296.08699999999999</v>
      </c>
      <c r="O24" s="14"/>
      <c r="P24" s="14"/>
    </row>
    <row r="25" spans="2:16">
      <c r="I25" s="14">
        <v>100</v>
      </c>
      <c r="J25" s="14">
        <v>550</v>
      </c>
      <c r="K25" s="14">
        <v>192.66499999999999</v>
      </c>
      <c r="L25" s="14">
        <v>100</v>
      </c>
      <c r="M25" s="14">
        <v>741.72400000000005</v>
      </c>
      <c r="N25" s="14">
        <v>308.06200000000001</v>
      </c>
      <c r="O25" s="14"/>
      <c r="P25" s="14"/>
    </row>
    <row r="26" spans="2:16">
      <c r="B26" t="s">
        <v>62</v>
      </c>
      <c r="C26" s="4">
        <f>(C12-C17)/C23</f>
        <v>2227.7603947758785</v>
      </c>
      <c r="D26" t="s">
        <v>63</v>
      </c>
      <c r="I26" s="14">
        <v>100</v>
      </c>
      <c r="J26" s="14">
        <v>600</v>
      </c>
      <c r="K26" s="14">
        <v>192.66499999999999</v>
      </c>
      <c r="L26" s="14">
        <v>100</v>
      </c>
      <c r="M26" s="14">
        <v>742.71799999999996</v>
      </c>
      <c r="N26" s="14">
        <v>318.64400000000001</v>
      </c>
      <c r="O26" s="14"/>
      <c r="P26" s="14"/>
    </row>
    <row r="27" spans="2:16">
      <c r="B27" t="s">
        <v>64</v>
      </c>
      <c r="C27" s="4">
        <f>IF(C26&lt;C14,C14-C26,0)</f>
        <v>1272.2396052241215</v>
      </c>
      <c r="D27" t="s">
        <v>63</v>
      </c>
      <c r="I27" s="14"/>
      <c r="J27" s="14"/>
      <c r="K27" s="14"/>
      <c r="L27" s="14"/>
      <c r="M27" s="14"/>
      <c r="N27" s="14"/>
      <c r="O27" s="14"/>
      <c r="P27" s="14"/>
    </row>
    <row r="28" spans="2:16">
      <c r="I28" s="14">
        <v>100</v>
      </c>
      <c r="J28" s="14">
        <v>192.66499999999999</v>
      </c>
      <c r="K28" s="14">
        <v>192.66499999999999</v>
      </c>
      <c r="L28" s="14">
        <v>100</v>
      </c>
      <c r="M28" s="14">
        <v>719.92600000000004</v>
      </c>
      <c r="N28" s="14">
        <v>158.03700000000001</v>
      </c>
      <c r="O28" s="14"/>
      <c r="P28" s="14"/>
    </row>
    <row r="29" spans="2:16">
      <c r="B29" t="s">
        <v>33</v>
      </c>
      <c r="C29" s="2">
        <f>C12</f>
        <v>350</v>
      </c>
      <c r="D29" t="s">
        <v>34</v>
      </c>
      <c r="I29" s="14"/>
      <c r="J29" s="14"/>
      <c r="K29" s="14"/>
      <c r="L29" s="14"/>
      <c r="M29" s="14"/>
      <c r="N29" s="14"/>
      <c r="O29" s="14"/>
      <c r="P29" s="14"/>
    </row>
    <row r="30" spans="2:16">
      <c r="B30" t="s">
        <v>65</v>
      </c>
      <c r="C30" s="2">
        <f>IF(C26&lt;C14,-C26*C23,-C14*C23)</f>
        <v>-157.33500000000001</v>
      </c>
      <c r="D30" t="s">
        <v>66</v>
      </c>
      <c r="I30" s="14"/>
      <c r="J30" s="14"/>
      <c r="K30" s="14"/>
      <c r="L30" s="14"/>
      <c r="M30" s="14"/>
      <c r="N30" s="14"/>
      <c r="O30" s="14"/>
      <c r="P30" s="14"/>
    </row>
    <row r="31" spans="2:16">
      <c r="B31" t="s">
        <v>67</v>
      </c>
      <c r="C31" s="2">
        <f>-C27*C24</f>
        <v>-19.724077281147924</v>
      </c>
      <c r="D31" t="s">
        <v>66</v>
      </c>
      <c r="I31" s="14"/>
      <c r="J31" s="14"/>
      <c r="K31" s="14"/>
      <c r="L31" s="14"/>
      <c r="M31" s="14"/>
      <c r="N31" s="14"/>
      <c r="O31" s="14"/>
      <c r="P31" s="14"/>
    </row>
    <row r="32" spans="2:16">
      <c r="C32" s="9" t="s">
        <v>68</v>
      </c>
      <c r="I32" s="14"/>
      <c r="J32" s="14"/>
      <c r="K32" s="14"/>
      <c r="L32" s="14"/>
      <c r="M32" s="14"/>
      <c r="N32" s="14"/>
      <c r="O32" s="14"/>
      <c r="P32" s="14"/>
    </row>
    <row r="33" spans="2:16" ht="15.75">
      <c r="B33" s="5" t="s">
        <v>69</v>
      </c>
      <c r="C33" s="11">
        <f>$C$29+$C$30+C31</f>
        <v>172.94092271885208</v>
      </c>
      <c r="D33" s="5" t="s">
        <v>34</v>
      </c>
      <c r="I33" s="14"/>
      <c r="J33" s="14"/>
      <c r="K33" s="14"/>
      <c r="L33" s="14"/>
      <c r="M33" s="14"/>
      <c r="N33" s="14"/>
      <c r="O33" s="14"/>
      <c r="P33" s="14"/>
    </row>
    <row r="34" spans="2:16">
      <c r="I34" s="14"/>
      <c r="J34" s="14"/>
      <c r="K34" s="14"/>
      <c r="L34" s="14"/>
      <c r="M34" s="14"/>
      <c r="N34" s="14"/>
      <c r="O34" s="14"/>
      <c r="P34" s="14"/>
    </row>
    <row r="35" spans="2:16">
      <c r="B35" s="16" t="s">
        <v>70</v>
      </c>
      <c r="I35" s="14"/>
      <c r="J35" s="14"/>
      <c r="K35" s="14"/>
      <c r="L35" s="14"/>
      <c r="M35" s="14"/>
      <c r="N35" s="14"/>
      <c r="O35" s="14"/>
      <c r="P35" s="14"/>
    </row>
    <row r="37" spans="2:16" ht="17.25">
      <c r="B37" t="s">
        <v>71</v>
      </c>
      <c r="C37" s="8">
        <v>140</v>
      </c>
      <c r="D37" t="s">
        <v>54</v>
      </c>
    </row>
    <row r="38" spans="2:16" ht="17.25">
      <c r="B38" t="s">
        <v>72</v>
      </c>
      <c r="C38" s="4">
        <f>(C37+$C$16)/2</f>
        <v>149.01850000000002</v>
      </c>
      <c r="D38" t="s">
        <v>54</v>
      </c>
    </row>
    <row r="39" spans="2:16">
      <c r="B39" t="s">
        <v>61</v>
      </c>
      <c r="C39" s="3">
        <f>C38*9.81/10^5</f>
        <v>1.4618714850000004E-2</v>
      </c>
      <c r="D39" t="s">
        <v>60</v>
      </c>
    </row>
    <row r="40" spans="2:16">
      <c r="B40" t="s">
        <v>67</v>
      </c>
      <c r="C40" s="2">
        <f>-$C$27*C39</f>
        <v>-18.598508009648008</v>
      </c>
      <c r="D40" t="s">
        <v>66</v>
      </c>
    </row>
    <row r="42" spans="2:16" ht="15.75">
      <c r="B42" s="5" t="s">
        <v>73</v>
      </c>
      <c r="C42" s="11">
        <f>$C$29+$C$30+C40</f>
        <v>174.06649199035198</v>
      </c>
      <c r="D42" s="5" t="s">
        <v>34</v>
      </c>
    </row>
    <row r="44" spans="2:16">
      <c r="B44" s="16" t="s">
        <v>74</v>
      </c>
    </row>
    <row r="46" spans="2:16" ht="17.25">
      <c r="B46" t="s">
        <v>71</v>
      </c>
      <c r="C46" s="8">
        <v>142</v>
      </c>
      <c r="D46" t="s">
        <v>54</v>
      </c>
    </row>
    <row r="47" spans="2:16" ht="17.25">
      <c r="B47" t="s">
        <v>72</v>
      </c>
      <c r="C47" s="4">
        <f>IF(C46="","",(C46+$C$16)/2)</f>
        <v>150.01850000000002</v>
      </c>
      <c r="D47" t="s">
        <v>54</v>
      </c>
    </row>
    <row r="48" spans="2:16">
      <c r="B48" t="s">
        <v>61</v>
      </c>
      <c r="C48" s="3">
        <f>IF(C46="","",C47*9.81/10^5)</f>
        <v>1.4716814850000003E-2</v>
      </c>
      <c r="D48" t="s">
        <v>60</v>
      </c>
    </row>
    <row r="49" spans="2:4">
      <c r="B49" t="s">
        <v>67</v>
      </c>
      <c r="C49" s="2">
        <f>IF(C46="","",-$C$27*C48)</f>
        <v>-18.723314714920491</v>
      </c>
      <c r="D49" t="s">
        <v>66</v>
      </c>
    </row>
    <row r="51" spans="2:4" ht="15.75">
      <c r="B51" s="5" t="s">
        <v>73</v>
      </c>
      <c r="C51" s="11">
        <f>IF(C46="","",$C$29+$C$30+C49)</f>
        <v>173.9416852850795</v>
      </c>
      <c r="D51" s="5" t="s">
        <v>34</v>
      </c>
    </row>
  </sheetData>
  <protectedRanges>
    <protectedRange algorithmName="SHA-512" hashValue="hHbinkuF8kBVOX8lRP5yP/eussDsVdeiIMOLRcDB3udqPgkXY3lB7lmCg7on3/w5bI1T+Uj5MaAbQjfChF+jsQ==" saltValue="V+vTvYui0Lv4rbm63vzPOw==" spinCount="100000" sqref="B1:G8" name="Heading"/>
    <protectedRange algorithmName="SHA-512" hashValue="Eqh6/nG1IjI4UUUajVhJKnuUeZzOes2fnVyOosPRrLs09uhFL7O2YqK0J9+ujhvRq1XiBHmb6EzGxmaq70Rk9Q==" saltValue="AfSz5ISbd9gMvDwh7yFziA==" spinCount="100000" sqref="B19:D33" name="Iteration 1"/>
    <protectedRange algorithmName="SHA-512" hashValue="nGF5uSKxs7K500GdsUF5hozLnJQiFcXoZqMuWjoDhxujtZPIpUv23iBgI5B1mtaLzOxQlhwjzNsCAFBn5eIQYw==" saltValue="xOjm4ztmSUK2WWV9Bn3TzQ==" spinCount="100000" sqref="B38:D42" name="Ieration 2"/>
    <protectedRange algorithmName="SHA-512" hashValue="qJ/hbLBheJQHdSGxF+bIQjXoWukzJV4Yg1SmLwP7DkpCaqLW8MfOYREdJbUIQJBah7N1YtGSKv1kdRtggEqQrw==" saltValue="nkN94CcIp47EYO542TjuwQ==" spinCount="100000" sqref="B47:D51" name="Iteration 3"/>
  </protectedRanges>
  <mergeCells count="3">
    <mergeCell ref="O2:P2"/>
    <mergeCell ref="O3:P3"/>
    <mergeCell ref="B6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2"/>
  <sheetViews>
    <sheetView workbookViewId="0">
      <selection activeCell="E17" sqref="E17"/>
    </sheetView>
  </sheetViews>
  <sheetFormatPr defaultRowHeight="15"/>
  <cols>
    <col min="2" max="2" width="42.85546875" customWidth="1"/>
    <col min="3" max="3" width="11.7109375" customWidth="1"/>
  </cols>
  <sheetData>
    <row r="1" spans="2:16" ht="26.25">
      <c r="B1" s="7" t="s">
        <v>75</v>
      </c>
    </row>
    <row r="2" spans="2:16">
      <c r="O2" s="56" t="s">
        <v>13</v>
      </c>
      <c r="P2" s="57"/>
    </row>
    <row r="3" spans="2:16" ht="18.75">
      <c r="B3" s="6" t="s">
        <v>14</v>
      </c>
      <c r="H3" s="10"/>
      <c r="I3" s="6" t="s">
        <v>15</v>
      </c>
      <c r="J3" s="10"/>
      <c r="O3" s="58" t="s">
        <v>16</v>
      </c>
      <c r="P3" s="59"/>
    </row>
    <row r="4" spans="2:16" ht="18.75" customHeight="1"/>
    <row r="5" spans="2:16" ht="15" customHeight="1">
      <c r="B5" s="55" t="s">
        <v>76</v>
      </c>
      <c r="C5" s="55"/>
      <c r="D5" s="55"/>
      <c r="E5" s="55"/>
      <c r="F5" s="55"/>
      <c r="G5" s="55"/>
      <c r="I5" s="12" t="s">
        <v>18</v>
      </c>
    </row>
    <row r="6" spans="2:16">
      <c r="B6" s="55"/>
      <c r="C6" s="55"/>
      <c r="D6" s="55"/>
      <c r="E6" s="55"/>
      <c r="F6" s="55"/>
      <c r="G6" s="55"/>
      <c r="I6" s="24" t="s">
        <v>20</v>
      </c>
      <c r="J6" s="14"/>
      <c r="K6" s="14"/>
      <c r="L6" s="14"/>
      <c r="M6" s="14"/>
      <c r="N6" s="14"/>
      <c r="O6" s="14"/>
      <c r="P6" s="14"/>
    </row>
    <row r="7" spans="2:16">
      <c r="B7" s="13" t="s">
        <v>22</v>
      </c>
      <c r="C7" s="13"/>
      <c r="D7" s="13"/>
      <c r="E7" s="13"/>
      <c r="F7" s="13"/>
      <c r="I7" s="14" t="s">
        <v>23</v>
      </c>
      <c r="J7" s="14"/>
      <c r="K7" s="14"/>
      <c r="L7" s="14"/>
      <c r="M7" s="14"/>
      <c r="N7" s="14"/>
      <c r="O7" s="14"/>
      <c r="P7" s="14"/>
    </row>
    <row r="8" spans="2:16">
      <c r="I8" s="14" t="s">
        <v>21</v>
      </c>
      <c r="J8" s="14"/>
      <c r="K8" s="14"/>
      <c r="L8" s="14"/>
      <c r="M8" s="14"/>
      <c r="N8" s="14"/>
      <c r="O8" s="14"/>
      <c r="P8" s="14"/>
    </row>
    <row r="9" spans="2:16" ht="18.75">
      <c r="B9" s="6" t="s">
        <v>24</v>
      </c>
      <c r="C9" s="10"/>
      <c r="D9" s="10"/>
      <c r="I9" s="14" t="s">
        <v>23</v>
      </c>
      <c r="J9" s="14"/>
      <c r="K9" s="14"/>
      <c r="L9" s="14"/>
      <c r="M9" s="14"/>
      <c r="N9" s="14"/>
      <c r="O9" s="14"/>
      <c r="P9" s="14"/>
    </row>
    <row r="10" spans="2:16">
      <c r="I10" s="14"/>
      <c r="J10" s="14"/>
      <c r="K10" s="14"/>
      <c r="L10" s="14"/>
      <c r="M10" s="14"/>
      <c r="N10" s="14"/>
      <c r="O10" s="14"/>
      <c r="P10" s="14"/>
    </row>
    <row r="11" spans="2:16">
      <c r="B11" t="s">
        <v>33</v>
      </c>
      <c r="C11" s="1">
        <v>500</v>
      </c>
      <c r="D11" t="s">
        <v>34</v>
      </c>
      <c r="I11" s="14" t="s">
        <v>25</v>
      </c>
      <c r="J11" s="14" t="s">
        <v>26</v>
      </c>
      <c r="K11" s="14" t="s">
        <v>32</v>
      </c>
      <c r="L11" s="14" t="s">
        <v>28</v>
      </c>
      <c r="M11" s="14" t="s">
        <v>28</v>
      </c>
      <c r="N11" s="14" t="s">
        <v>77</v>
      </c>
      <c r="O11" s="14"/>
      <c r="P11" s="14"/>
    </row>
    <row r="12" spans="2:16">
      <c r="B12" t="s">
        <v>40</v>
      </c>
      <c r="C12" s="1">
        <v>120</v>
      </c>
      <c r="D12" t="s">
        <v>41</v>
      </c>
      <c r="I12" s="14" t="s">
        <v>35</v>
      </c>
      <c r="J12" s="14" t="s">
        <v>36</v>
      </c>
      <c r="K12" s="14" t="s">
        <v>39</v>
      </c>
      <c r="L12" s="14" t="s">
        <v>78</v>
      </c>
      <c r="M12" s="14" t="s">
        <v>79</v>
      </c>
      <c r="N12" s="14" t="s">
        <v>80</v>
      </c>
      <c r="O12" s="14"/>
      <c r="P12" s="14"/>
    </row>
    <row r="13" spans="2:16">
      <c r="B13" t="s">
        <v>47</v>
      </c>
      <c r="C13" s="1">
        <v>3000</v>
      </c>
      <c r="D13" t="s">
        <v>48</v>
      </c>
      <c r="I13" s="14" t="s">
        <v>42</v>
      </c>
      <c r="J13" s="14" t="s">
        <v>43</v>
      </c>
      <c r="K13" s="14" t="s">
        <v>46</v>
      </c>
      <c r="L13" s="14" t="s">
        <v>81</v>
      </c>
      <c r="M13" s="14" t="s">
        <v>82</v>
      </c>
      <c r="N13" s="14" t="s">
        <v>27</v>
      </c>
      <c r="O13" s="14"/>
      <c r="P13" s="14"/>
    </row>
    <row r="14" spans="2:16" ht="18.75">
      <c r="B14" t="s">
        <v>83</v>
      </c>
      <c r="C14" s="8">
        <f>K24</f>
        <v>245.12799999999999</v>
      </c>
      <c r="D14" t="s">
        <v>54</v>
      </c>
      <c r="I14" s="14" t="s">
        <v>49</v>
      </c>
      <c r="J14" s="14" t="s">
        <v>50</v>
      </c>
      <c r="K14" s="14" t="s">
        <v>51</v>
      </c>
      <c r="L14" s="14" t="s">
        <v>52</v>
      </c>
      <c r="M14" s="14" t="s">
        <v>52</v>
      </c>
      <c r="N14" s="14" t="s">
        <v>51</v>
      </c>
      <c r="O14" s="14"/>
      <c r="P14" s="14"/>
    </row>
    <row r="15" spans="2:16">
      <c r="I15" s="14">
        <v>120</v>
      </c>
      <c r="J15" s="14">
        <v>50</v>
      </c>
      <c r="K15" s="14">
        <v>30.382300000000001</v>
      </c>
      <c r="L15" s="14">
        <v>1.5007E-2</v>
      </c>
      <c r="M15" s="14">
        <v>2.6546E-2</v>
      </c>
      <c r="N15" s="14">
        <v>0.95637000000000005</v>
      </c>
      <c r="O15" s="14"/>
      <c r="P15" s="14"/>
    </row>
    <row r="16" spans="2:16" ht="18.75">
      <c r="B16" s="6" t="s">
        <v>57</v>
      </c>
      <c r="C16" s="10"/>
      <c r="D16" s="10"/>
      <c r="I16" s="14">
        <v>120</v>
      </c>
      <c r="J16" s="14">
        <v>100</v>
      </c>
      <c r="K16" s="14">
        <v>62.621699999999997</v>
      </c>
      <c r="L16" s="14">
        <v>1.6088000000000002E-2</v>
      </c>
      <c r="M16" s="14">
        <v>1.2880000000000001E-2</v>
      </c>
      <c r="N16" s="14">
        <v>0.92801</v>
      </c>
      <c r="O16" s="14"/>
      <c r="P16" s="14"/>
    </row>
    <row r="17" spans="2:16">
      <c r="I17" s="14">
        <v>120</v>
      </c>
      <c r="J17" s="14">
        <v>150</v>
      </c>
      <c r="K17" s="14">
        <v>94.899100000000004</v>
      </c>
      <c r="L17" s="14">
        <v>1.7524999999999999E-2</v>
      </c>
      <c r="M17" s="14">
        <v>8.4989000000000002E-3</v>
      </c>
      <c r="N17" s="14">
        <v>0.91856000000000004</v>
      </c>
      <c r="O17" s="14"/>
      <c r="P17" s="14"/>
    </row>
    <row r="18" spans="2:16">
      <c r="B18" s="16" t="s">
        <v>58</v>
      </c>
      <c r="I18" s="14">
        <v>120</v>
      </c>
      <c r="J18" s="14">
        <v>200</v>
      </c>
      <c r="K18" s="14">
        <v>125.265</v>
      </c>
      <c r="L18" s="14">
        <v>1.9205E-2</v>
      </c>
      <c r="M18" s="14">
        <v>6.4387000000000003E-3</v>
      </c>
      <c r="N18" s="14">
        <v>0.92784999999999995</v>
      </c>
      <c r="O18" s="14"/>
      <c r="P18" s="14"/>
    </row>
    <row r="19" spans="2:16">
      <c r="I19" s="14">
        <v>120</v>
      </c>
      <c r="J19" s="14">
        <v>250</v>
      </c>
      <c r="K19" s="14">
        <v>152.53800000000001</v>
      </c>
      <c r="L19" s="14">
        <v>2.1013E-2</v>
      </c>
      <c r="M19" s="14">
        <v>5.2874999999999997E-3</v>
      </c>
      <c r="N19" s="14">
        <v>0.95245000000000002</v>
      </c>
      <c r="O19" s="14"/>
      <c r="P19" s="14"/>
    </row>
    <row r="20" spans="2:16">
      <c r="B20" t="s">
        <v>61</v>
      </c>
      <c r="C20" s="3">
        <f>C14*9.81/10^5</f>
        <v>2.4047056800000001E-2</v>
      </c>
      <c r="D20" t="s">
        <v>60</v>
      </c>
      <c r="I20" s="14">
        <v>120</v>
      </c>
      <c r="J20" s="14">
        <v>300</v>
      </c>
      <c r="K20" s="14">
        <v>176.44499999999999</v>
      </c>
      <c r="L20" s="14">
        <v>2.2858E-2</v>
      </c>
      <c r="M20" s="14">
        <v>4.5710000000000004E-3</v>
      </c>
      <c r="N20" s="14">
        <v>0.98807</v>
      </c>
      <c r="O20" s="14"/>
      <c r="P20" s="14"/>
    </row>
    <row r="21" spans="2:16" ht="15" customHeight="1">
      <c r="B21" t="s">
        <v>33</v>
      </c>
      <c r="C21" s="2">
        <f>C11</f>
        <v>500</v>
      </c>
      <c r="D21" t="s">
        <v>34</v>
      </c>
      <c r="I21" s="14">
        <v>120</v>
      </c>
      <c r="J21" s="14">
        <v>350</v>
      </c>
      <c r="K21" s="14">
        <v>197.23599999999999</v>
      </c>
      <c r="L21" s="14">
        <v>2.4684000000000001E-2</v>
      </c>
      <c r="M21" s="14">
        <v>4.0892000000000003E-3</v>
      </c>
      <c r="N21" s="14">
        <v>1.0312399999999999</v>
      </c>
      <c r="O21" s="14"/>
      <c r="P21" s="14"/>
    </row>
    <row r="22" spans="2:16">
      <c r="B22" t="s">
        <v>67</v>
      </c>
      <c r="C22" s="2">
        <f>-C20*$C$13</f>
        <v>-72.141170400000007</v>
      </c>
      <c r="D22" t="s">
        <v>66</v>
      </c>
      <c r="I22" s="14">
        <v>120</v>
      </c>
      <c r="J22" s="14">
        <v>400</v>
      </c>
      <c r="K22" s="14">
        <v>215.333</v>
      </c>
      <c r="L22" s="14">
        <v>2.6460000000000001E-2</v>
      </c>
      <c r="M22" s="14">
        <v>3.7456E-3</v>
      </c>
      <c r="N22" s="14">
        <v>1.07951</v>
      </c>
      <c r="O22" s="14"/>
      <c r="P22" s="14"/>
    </row>
    <row r="23" spans="2:16">
      <c r="C23" s="9" t="s">
        <v>68</v>
      </c>
      <c r="I23" s="14">
        <v>120</v>
      </c>
      <c r="J23" s="14">
        <v>450</v>
      </c>
      <c r="K23" s="14">
        <v>231.16900000000001</v>
      </c>
      <c r="L23" s="14">
        <v>2.8171000000000002E-2</v>
      </c>
      <c r="M23" s="14">
        <v>3.4889999999999999E-3</v>
      </c>
      <c r="N23" s="14">
        <v>1.1312500000000001</v>
      </c>
      <c r="O23" s="14"/>
      <c r="P23" s="14"/>
    </row>
    <row r="24" spans="2:16" ht="15.75">
      <c r="B24" s="5" t="s">
        <v>69</v>
      </c>
      <c r="C24" s="11">
        <f>$C$21+C22</f>
        <v>427.85882959999998</v>
      </c>
      <c r="D24" s="5" t="s">
        <v>34</v>
      </c>
      <c r="I24" s="14">
        <v>120</v>
      </c>
      <c r="J24" s="14">
        <v>500</v>
      </c>
      <c r="K24" s="14">
        <v>245.12799999999999</v>
      </c>
      <c r="L24" s="14">
        <v>2.9812999999999999E-2</v>
      </c>
      <c r="M24" s="14">
        <v>3.2902999999999999E-3</v>
      </c>
      <c r="N24" s="14">
        <v>1.18537</v>
      </c>
      <c r="O24" s="14"/>
      <c r="P24" s="14"/>
    </row>
    <row r="25" spans="2:16">
      <c r="I25" s="14">
        <v>120</v>
      </c>
      <c r="J25" s="14">
        <v>550</v>
      </c>
      <c r="K25" s="14">
        <v>257.52999999999997</v>
      </c>
      <c r="L25" s="14">
        <v>3.1384000000000002E-2</v>
      </c>
      <c r="M25" s="14">
        <v>3.1318000000000001E-3</v>
      </c>
      <c r="N25" s="14">
        <v>1.24112</v>
      </c>
      <c r="O25" s="14"/>
      <c r="P25" s="14"/>
    </row>
    <row r="26" spans="2:16">
      <c r="B26" s="16" t="s">
        <v>70</v>
      </c>
      <c r="I26" s="14">
        <v>120</v>
      </c>
      <c r="J26" s="14">
        <v>600</v>
      </c>
      <c r="K26" s="14">
        <v>268.63499999999999</v>
      </c>
      <c r="L26" s="14">
        <v>3.2888000000000001E-2</v>
      </c>
      <c r="M26" s="14">
        <v>3.0024000000000001E-3</v>
      </c>
      <c r="N26" s="14">
        <v>1.2979700000000001</v>
      </c>
      <c r="O26" s="14"/>
      <c r="P26" s="14"/>
    </row>
    <row r="27" spans="2:16">
      <c r="I27" s="14"/>
      <c r="J27" s="14"/>
      <c r="K27" s="14"/>
      <c r="L27" s="14"/>
      <c r="M27" s="14"/>
      <c r="N27" s="14"/>
      <c r="O27" s="14"/>
      <c r="P27" s="14"/>
    </row>
    <row r="28" spans="2:16" ht="17.25">
      <c r="B28" t="s">
        <v>71</v>
      </c>
      <c r="C28" s="8">
        <v>223</v>
      </c>
      <c r="D28" t="s">
        <v>54</v>
      </c>
      <c r="I28" s="14"/>
      <c r="J28" s="14"/>
      <c r="K28" s="14"/>
      <c r="L28" s="14"/>
      <c r="M28" s="14"/>
      <c r="N28" s="14"/>
      <c r="O28" s="14"/>
      <c r="P28" s="14"/>
    </row>
    <row r="29" spans="2:16" ht="17.25">
      <c r="B29" t="s">
        <v>72</v>
      </c>
      <c r="C29" s="4">
        <f>(C28+$C$14)/2</f>
        <v>234.06399999999999</v>
      </c>
      <c r="D29" t="s">
        <v>54</v>
      </c>
      <c r="I29" s="14"/>
      <c r="J29" s="14"/>
      <c r="K29" s="14"/>
      <c r="L29" s="14"/>
      <c r="M29" s="14"/>
      <c r="N29" s="14"/>
      <c r="O29" s="14"/>
      <c r="P29" s="14"/>
    </row>
    <row r="30" spans="2:16">
      <c r="B30" t="s">
        <v>61</v>
      </c>
      <c r="C30" s="3">
        <f>C29*9.81/10^5</f>
        <v>2.2961678400000001E-2</v>
      </c>
      <c r="D30" t="s">
        <v>60</v>
      </c>
      <c r="I30" s="14"/>
      <c r="J30" s="14"/>
      <c r="K30" s="14"/>
      <c r="L30" s="14"/>
      <c r="M30" s="14"/>
      <c r="N30" s="14"/>
      <c r="O30" s="14"/>
      <c r="P30" s="14"/>
    </row>
    <row r="31" spans="2:16">
      <c r="B31" t="s">
        <v>67</v>
      </c>
      <c r="C31" s="2">
        <f>-$C$13*C30</f>
        <v>-68.885035200000004</v>
      </c>
      <c r="D31" t="s">
        <v>66</v>
      </c>
      <c r="I31" s="14"/>
      <c r="J31" s="14"/>
      <c r="K31" s="14"/>
      <c r="L31" s="14"/>
      <c r="M31" s="14"/>
      <c r="N31" s="14"/>
      <c r="O31" s="14"/>
      <c r="P31" s="14"/>
    </row>
    <row r="32" spans="2:16">
      <c r="I32" s="14"/>
      <c r="J32" s="14"/>
      <c r="K32" s="14"/>
      <c r="L32" s="14"/>
      <c r="M32" s="14"/>
      <c r="N32" s="14"/>
      <c r="O32" s="14"/>
      <c r="P32" s="14"/>
    </row>
    <row r="33" spans="2:16" ht="15.75">
      <c r="B33" s="5" t="s">
        <v>73</v>
      </c>
      <c r="C33" s="11">
        <f>$C$21+C31</f>
        <v>431.1149648</v>
      </c>
      <c r="D33" s="5" t="s">
        <v>34</v>
      </c>
      <c r="I33" s="14"/>
      <c r="J33" s="14"/>
      <c r="K33" s="14"/>
      <c r="L33" s="14"/>
      <c r="M33" s="14"/>
      <c r="N33" s="14"/>
      <c r="O33" s="14"/>
      <c r="P33" s="14"/>
    </row>
    <row r="34" spans="2:16">
      <c r="I34" s="14"/>
      <c r="J34" s="14"/>
      <c r="K34" s="14"/>
      <c r="L34" s="14"/>
      <c r="M34" s="14"/>
      <c r="N34" s="14"/>
      <c r="O34" s="14"/>
      <c r="P34" s="14"/>
    </row>
    <row r="35" spans="2:16">
      <c r="B35" s="16" t="s">
        <v>74</v>
      </c>
      <c r="I35" s="14"/>
      <c r="J35" s="14"/>
      <c r="K35" s="14"/>
      <c r="L35" s="14"/>
      <c r="M35" s="14"/>
      <c r="N35" s="14"/>
      <c r="O35" s="14"/>
      <c r="P35" s="14"/>
    </row>
    <row r="37" spans="2:16" ht="17.25">
      <c r="B37" t="s">
        <v>71</v>
      </c>
      <c r="C37" s="8">
        <v>224</v>
      </c>
      <c r="D37" t="s">
        <v>54</v>
      </c>
    </row>
    <row r="38" spans="2:16" ht="17.25">
      <c r="B38" t="s">
        <v>72</v>
      </c>
      <c r="C38" s="4">
        <f>IF(C37="","",(C37+$C$14)/2)</f>
        <v>234.56399999999999</v>
      </c>
      <c r="D38" t="s">
        <v>54</v>
      </c>
    </row>
    <row r="39" spans="2:16">
      <c r="B39" t="s">
        <v>61</v>
      </c>
      <c r="C39" s="3">
        <f>IF(C37="","",C38*9.81/10^5)</f>
        <v>2.3010728400000003E-2</v>
      </c>
      <c r="D39" t="s">
        <v>60</v>
      </c>
    </row>
    <row r="40" spans="2:16">
      <c r="B40" t="s">
        <v>67</v>
      </c>
      <c r="C40" s="2">
        <f>IF(C37="","",-$C$13*C39)</f>
        <v>-69.032185200000015</v>
      </c>
      <c r="D40" t="s">
        <v>66</v>
      </c>
    </row>
    <row r="42" spans="2:16" ht="15.75">
      <c r="B42" s="5" t="s">
        <v>73</v>
      </c>
      <c r="C42" s="11">
        <f>IF(C37="","",$C$21+C40)</f>
        <v>430.96781479999999</v>
      </c>
      <c r="D42" s="5" t="s">
        <v>34</v>
      </c>
    </row>
  </sheetData>
  <protectedRanges>
    <protectedRange algorithmName="SHA-512" hashValue="ud0+Msy+rPaKFnQB2MvMZC+FdPPSlvKlqNk1GWldjLcVgsUm9nf44MSZX5Gb1P0dGm+h/SefcIQ9HayOxkb/gQ==" saltValue="GjHQlzesQ3sRD1VXDqNeng==" spinCount="100000" sqref="B38:D42" name="Iteration 3"/>
    <protectedRange algorithmName="SHA-512" hashValue="3AWiGnrHWC2QUpRZJFR8BAnVpQmd28/QkYGPVjEEiCPEBCbz1ONZrz4OtCtXoNTWeoMfL5YJATtIa6BAm1vhfg==" saltValue="rOF9tzsGFttz0ZKCvMGIeA==" spinCount="100000" sqref="B29:D33" name="Iteration 2"/>
    <protectedRange algorithmName="SHA-512" hashValue="BBVAKHShAv/Dpf4tIP1bhM7TzTiE4L7Cz7Y7kL3yTvkBvyh4ak9bL5oT2uvL8ieYXYA6xzcE+j0aVxmkMSutPg==" saltValue="C/0047oy01SdxRWU2Twqug==" spinCount="100000" sqref="B16:D24" name="Iteration 1"/>
    <protectedRange algorithmName="SHA-512" hashValue="Px6HnaeucguH+2enBOu73tSKmlWwf+upRTqUhekD7K4P4PIokFFP1XlM830If2RMhPw0ebw3ps5EXweSqutR7g==" saltValue="shx6DZ09PFfjFoTipvXqFg==" spinCount="100000" sqref="B1:G7" name="Heading"/>
  </protectedRanges>
  <mergeCells count="3">
    <mergeCell ref="O2:P2"/>
    <mergeCell ref="O3:P3"/>
    <mergeCell ref="B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62"/>
  <sheetViews>
    <sheetView zoomScaleNormal="100" workbookViewId="0">
      <selection activeCell="G10" sqref="G10"/>
    </sheetView>
  </sheetViews>
  <sheetFormatPr defaultRowHeight="15"/>
  <cols>
    <col min="2" max="2" width="26.28515625" customWidth="1"/>
    <col min="18" max="18" width="9.7109375" customWidth="1"/>
    <col min="26" max="26" width="9.42578125" customWidth="1"/>
  </cols>
  <sheetData>
    <row r="1" spans="2:27" ht="26.25">
      <c r="B1" s="7" t="s">
        <v>84</v>
      </c>
    </row>
    <row r="3" spans="2:27" ht="18.75">
      <c r="B3" s="6" t="s">
        <v>24</v>
      </c>
      <c r="C3" s="10"/>
      <c r="D3" s="10"/>
      <c r="W3" s="18" t="s">
        <v>85</v>
      </c>
      <c r="X3" s="19"/>
      <c r="Y3" s="19"/>
      <c r="Z3" s="19"/>
    </row>
    <row r="5" spans="2:27" ht="15.75">
      <c r="B5" s="41" t="s">
        <v>86</v>
      </c>
      <c r="C5" s="42">
        <v>300</v>
      </c>
      <c r="D5" s="41" t="s">
        <v>34</v>
      </c>
      <c r="E5" s="43">
        <f>C5*$Z$9</f>
        <v>4351.1323169184898</v>
      </c>
      <c r="F5" s="41" t="s">
        <v>87</v>
      </c>
      <c r="W5" s="60" t="s">
        <v>88</v>
      </c>
      <c r="X5" s="60"/>
      <c r="Z5" s="60" t="s">
        <v>89</v>
      </c>
      <c r="AA5" s="60"/>
    </row>
    <row r="6" spans="2:27" ht="15.75">
      <c r="B6" s="41" t="s">
        <v>90</v>
      </c>
      <c r="C6" s="42">
        <v>100</v>
      </c>
      <c r="D6" s="41" t="s">
        <v>41</v>
      </c>
      <c r="E6" s="43">
        <f>C6*9/5+32</f>
        <v>212</v>
      </c>
      <c r="F6" s="41" t="s">
        <v>91</v>
      </c>
    </row>
    <row r="7" spans="2:27" ht="15.75">
      <c r="B7" s="41" t="s">
        <v>92</v>
      </c>
      <c r="C7" s="42">
        <v>0.8</v>
      </c>
      <c r="D7" s="41"/>
      <c r="E7" s="41"/>
      <c r="F7" s="41"/>
      <c r="W7" s="15">
        <v>1</v>
      </c>
      <c r="X7" s="13" t="s">
        <v>93</v>
      </c>
      <c r="Y7" s="15" t="s">
        <v>68</v>
      </c>
      <c r="Z7" s="13">
        <v>35.314700000000002</v>
      </c>
      <c r="AA7" s="13" t="s">
        <v>94</v>
      </c>
    </row>
    <row r="8" spans="2:27" ht="15.75">
      <c r="B8" s="41"/>
      <c r="C8" s="41"/>
      <c r="D8" s="41"/>
      <c r="E8" s="41"/>
      <c r="F8" s="41"/>
      <c r="W8" s="15">
        <v>1</v>
      </c>
      <c r="X8" s="13" t="s">
        <v>93</v>
      </c>
      <c r="Y8" s="15" t="s">
        <v>68</v>
      </c>
      <c r="Z8" s="13">
        <f>1/0.158987</f>
        <v>6.2898224383125667</v>
      </c>
      <c r="AA8" s="13" t="s">
        <v>95</v>
      </c>
    </row>
    <row r="9" spans="2:27" ht="18">
      <c r="B9" s="5" t="s">
        <v>96</v>
      </c>
      <c r="C9" s="44">
        <f>C62</f>
        <v>243.24314577601905</v>
      </c>
      <c r="D9" s="5" t="s">
        <v>97</v>
      </c>
      <c r="E9" s="41"/>
      <c r="F9" s="41"/>
      <c r="W9" s="15">
        <v>1</v>
      </c>
      <c r="X9" s="13" t="s">
        <v>98</v>
      </c>
      <c r="Y9" s="15" t="s">
        <v>68</v>
      </c>
      <c r="Z9" s="13">
        <v>14.503774389728299</v>
      </c>
      <c r="AA9" s="13" t="s">
        <v>99</v>
      </c>
    </row>
    <row r="10" spans="2:27">
      <c r="W10" s="15">
        <v>1</v>
      </c>
      <c r="X10" s="13" t="s">
        <v>100</v>
      </c>
      <c r="Y10" s="15" t="s">
        <v>68</v>
      </c>
      <c r="Z10" s="13">
        <f>1/0.1772</f>
        <v>5.6433408577878108</v>
      </c>
      <c r="AA10" s="13" t="s">
        <v>101</v>
      </c>
    </row>
    <row r="11" spans="2:27">
      <c r="W11" s="15">
        <v>0</v>
      </c>
      <c r="X11" s="13" t="s">
        <v>102</v>
      </c>
      <c r="Y11" s="15" t="s">
        <v>68</v>
      </c>
      <c r="Z11" s="13">
        <v>14.696</v>
      </c>
      <c r="AA11" s="13" t="s">
        <v>87</v>
      </c>
    </row>
    <row r="12" spans="2:27" ht="18.75">
      <c r="B12" s="6" t="s">
        <v>57</v>
      </c>
      <c r="C12" s="10"/>
      <c r="D12" s="10"/>
      <c r="W12" s="15">
        <v>0</v>
      </c>
      <c r="X12" s="13" t="s">
        <v>103</v>
      </c>
      <c r="Y12" s="15" t="s">
        <v>68</v>
      </c>
      <c r="Z12" s="13">
        <v>1.01325</v>
      </c>
      <c r="AA12" s="13" t="s">
        <v>34</v>
      </c>
    </row>
    <row r="13" spans="2:27">
      <c r="C13" s="60" t="s">
        <v>88</v>
      </c>
      <c r="D13" s="60"/>
      <c r="E13" s="60" t="s">
        <v>89</v>
      </c>
      <c r="F13" s="60"/>
      <c r="G13" s="15"/>
      <c r="H13" s="60" t="s">
        <v>104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W13" s="15">
        <v>0</v>
      </c>
      <c r="X13" s="13" t="s">
        <v>105</v>
      </c>
      <c r="Y13" s="15" t="s">
        <v>68</v>
      </c>
      <c r="Z13" s="13">
        <v>459.67</v>
      </c>
      <c r="AA13" s="13" t="s">
        <v>106</v>
      </c>
    </row>
    <row r="14" spans="2:27" ht="15.75">
      <c r="B14" s="40" t="s">
        <v>107</v>
      </c>
      <c r="W14" s="15">
        <v>1</v>
      </c>
      <c r="X14" s="13" t="s">
        <v>108</v>
      </c>
      <c r="Y14" s="9" t="s">
        <v>68</v>
      </c>
      <c r="Z14" s="13">
        <v>16.0185</v>
      </c>
      <c r="AA14" s="13" t="s">
        <v>109</v>
      </c>
    </row>
    <row r="15" spans="2:27">
      <c r="W15" s="15">
        <v>1</v>
      </c>
      <c r="X15" s="13" t="s">
        <v>110</v>
      </c>
      <c r="Y15" s="15" t="s">
        <v>68</v>
      </c>
      <c r="Z15" s="20">
        <v>1.6018500000000001E-2</v>
      </c>
      <c r="AA15" s="13" t="s">
        <v>111</v>
      </c>
    </row>
    <row r="16" spans="2:27">
      <c r="B16" s="52" t="s">
        <v>112</v>
      </c>
      <c r="C16" s="15"/>
      <c r="D16" s="15"/>
      <c r="E16" s="15"/>
      <c r="F16" s="15"/>
      <c r="X16" s="13" t="s">
        <v>113</v>
      </c>
      <c r="Y16" s="9" t="s">
        <v>68</v>
      </c>
      <c r="Z16" s="13">
        <v>10.731</v>
      </c>
      <c r="AA16" s="13" t="s">
        <v>114</v>
      </c>
    </row>
    <row r="17" spans="2:27">
      <c r="B17" s="15"/>
      <c r="C17" s="15"/>
      <c r="D17" s="15"/>
      <c r="E17" s="15"/>
      <c r="F17" s="15"/>
      <c r="W17" s="15">
        <v>1</v>
      </c>
      <c r="X17" s="13" t="s">
        <v>115</v>
      </c>
      <c r="Y17" s="15" t="s">
        <v>68</v>
      </c>
      <c r="Z17" s="13">
        <v>1.005071</v>
      </c>
      <c r="AA17" s="13" t="s">
        <v>116</v>
      </c>
    </row>
    <row r="18" spans="2:27">
      <c r="B18" s="39" t="s">
        <v>117</v>
      </c>
      <c r="C18" s="15"/>
      <c r="D18" s="15"/>
      <c r="E18" s="15"/>
      <c r="F18" s="15"/>
      <c r="H18" s="13" t="s">
        <v>118</v>
      </c>
    </row>
    <row r="19" spans="2:27" ht="15.75">
      <c r="B19" s="15" t="s">
        <v>119</v>
      </c>
      <c r="C19" s="17">
        <f>E19/Z9</f>
        <v>45.677765125000036</v>
      </c>
      <c r="D19" s="15" t="s">
        <v>34</v>
      </c>
      <c r="E19" s="17">
        <f>702.5-50*GasSG</f>
        <v>662.5</v>
      </c>
      <c r="F19" s="15" t="s">
        <v>87</v>
      </c>
      <c r="H19" t="s">
        <v>120</v>
      </c>
    </row>
    <row r="20" spans="2:27" ht="15.75">
      <c r="B20" s="15" t="s">
        <v>121</v>
      </c>
      <c r="C20" s="17">
        <f>5/9*E20-273.15</f>
        <v>-39.629999999999967</v>
      </c>
      <c r="D20" s="15" t="s">
        <v>122</v>
      </c>
      <c r="E20" s="17">
        <f>167+316.67*GasSG</f>
        <v>420.33600000000001</v>
      </c>
      <c r="F20" s="15" t="s">
        <v>106</v>
      </c>
      <c r="W20" s="15">
        <v>1</v>
      </c>
      <c r="X20" s="13" t="s">
        <v>123</v>
      </c>
      <c r="Y20" s="15" t="s">
        <v>68</v>
      </c>
      <c r="Z20">
        <v>0.45359237000000002</v>
      </c>
      <c r="AA20" s="13" t="s">
        <v>124</v>
      </c>
    </row>
    <row r="21" spans="2:27">
      <c r="W21" s="15">
        <v>1</v>
      </c>
      <c r="X21" s="13" t="s">
        <v>125</v>
      </c>
      <c r="Y21" s="15" t="s">
        <v>68</v>
      </c>
      <c r="Z21">
        <v>0.30480000000000002</v>
      </c>
      <c r="AA21" s="13" t="s">
        <v>63</v>
      </c>
    </row>
    <row r="22" spans="2:27">
      <c r="B22" s="15" t="s">
        <v>126</v>
      </c>
      <c r="C22" s="15"/>
      <c r="D22" s="15"/>
      <c r="E22" s="21">
        <f>E5/E19</f>
        <v>6.5677468934618712</v>
      </c>
    </row>
    <row r="23" spans="2:27">
      <c r="B23" s="15" t="s">
        <v>127</v>
      </c>
      <c r="C23" s="15"/>
      <c r="D23" s="15"/>
      <c r="E23" s="21">
        <f>(E6 + Z13)/E20</f>
        <v>1.5979359369647141</v>
      </c>
    </row>
    <row r="25" spans="2:27" ht="15.75">
      <c r="B25" s="40" t="s">
        <v>128</v>
      </c>
    </row>
    <row r="27" spans="2:27">
      <c r="B27" s="38" t="s">
        <v>129</v>
      </c>
      <c r="C27" s="25"/>
      <c r="D27" s="27"/>
      <c r="E27" s="28">
        <f>R52</f>
        <v>0.92130702435175316</v>
      </c>
      <c r="F27" s="27"/>
      <c r="G27" s="27"/>
      <c r="H27" s="29" t="s">
        <v>130</v>
      </c>
      <c r="I27" s="30">
        <v>0.31506236999999998</v>
      </c>
      <c r="J27" s="29" t="s">
        <v>131</v>
      </c>
      <c r="K27" s="31">
        <v>-1.0467099</v>
      </c>
      <c r="L27" s="29" t="s">
        <v>132</v>
      </c>
      <c r="M27" s="30">
        <v>-0.57832729000000005</v>
      </c>
      <c r="N27" s="29" t="s">
        <v>133</v>
      </c>
      <c r="O27" s="30">
        <v>0.53530770999999999</v>
      </c>
      <c r="P27" s="29" t="s">
        <v>134</v>
      </c>
      <c r="Q27" s="30">
        <v>-0.61232032000000003</v>
      </c>
      <c r="R27" s="29" t="s">
        <v>135</v>
      </c>
      <c r="S27" s="30">
        <v>-0.10488813</v>
      </c>
      <c r="T27" s="15"/>
    </row>
    <row r="28" spans="2:27">
      <c r="B28" s="27"/>
      <c r="C28" s="27"/>
      <c r="D28" s="27"/>
      <c r="E28" s="27"/>
      <c r="F28" s="27"/>
      <c r="G28" s="27"/>
      <c r="H28" s="29" t="s">
        <v>136</v>
      </c>
      <c r="I28" s="30">
        <v>0.68157000999999995</v>
      </c>
      <c r="J28" s="29" t="s">
        <v>137</v>
      </c>
      <c r="K28" s="30">
        <v>0.68446549000000001</v>
      </c>
      <c r="L28" s="27"/>
      <c r="M28" s="27"/>
      <c r="N28" s="27"/>
      <c r="O28" s="27"/>
      <c r="P28" s="27"/>
      <c r="Q28" s="27"/>
      <c r="R28" s="27"/>
      <c r="S28" s="27"/>
      <c r="T28" s="15"/>
    </row>
    <row r="29" spans="2:27">
      <c r="B29" s="27"/>
      <c r="C29" s="27"/>
      <c r="D29" s="27"/>
      <c r="E29" s="27"/>
      <c r="F29" s="27"/>
      <c r="G29" s="27"/>
      <c r="H29" s="29" t="s">
        <v>138</v>
      </c>
      <c r="I29" s="32">
        <f>$I$27+$K$27/Tr+M27/Tr^3</f>
        <v>-0.48171737648031054</v>
      </c>
      <c r="J29" s="29" t="s">
        <v>139</v>
      </c>
      <c r="K29" s="32">
        <f>$O$27+$Q$27/Tr</f>
        <v>0.15211317395176205</v>
      </c>
      <c r="L29" s="29" t="s">
        <v>140</v>
      </c>
      <c r="M29" s="32">
        <f>$Q$27*$S$27/Tr</f>
        <v>4.0192558312317266E-2</v>
      </c>
      <c r="N29" s="29" t="s">
        <v>141</v>
      </c>
      <c r="O29" s="32">
        <f>I28/Tr^3</f>
        <v>0.16704457684930191</v>
      </c>
      <c r="P29" s="27"/>
      <c r="Q29" s="27"/>
      <c r="R29" s="27"/>
      <c r="S29" s="27"/>
      <c r="T29" s="15"/>
    </row>
    <row r="30" spans="2:27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15"/>
    </row>
    <row r="31" spans="2:27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15"/>
    </row>
    <row r="32" spans="2:27">
      <c r="B32" s="27"/>
      <c r="C32" s="27"/>
      <c r="D32" s="27"/>
      <c r="E32" s="27"/>
      <c r="F32" s="27"/>
      <c r="G32" s="27"/>
      <c r="H32" s="29" t="s">
        <v>142</v>
      </c>
      <c r="I32" s="27"/>
      <c r="J32" s="27"/>
      <c r="K32" s="29" t="s">
        <v>143</v>
      </c>
      <c r="L32" s="30">
        <v>1</v>
      </c>
      <c r="M32" s="27"/>
      <c r="N32" s="29" t="s">
        <v>142</v>
      </c>
      <c r="O32" s="27"/>
      <c r="P32" s="27"/>
      <c r="Q32" s="29" t="s">
        <v>144</v>
      </c>
      <c r="R32" s="33">
        <f>L52</f>
        <v>0.92130757467413993</v>
      </c>
      <c r="S32" s="27"/>
      <c r="T32" s="15"/>
    </row>
    <row r="33" spans="2:20">
      <c r="B33" s="27"/>
      <c r="C33" s="27"/>
      <c r="D33" s="27"/>
      <c r="E33" s="27"/>
      <c r="F33" s="27"/>
      <c r="G33" s="27"/>
      <c r="H33" s="29">
        <v>1</v>
      </c>
      <c r="I33" s="29" t="s">
        <v>145</v>
      </c>
      <c r="J33" s="32">
        <f>0.27*Pr/(L32*Tr)</f>
        <v>1.1097388951668989</v>
      </c>
      <c r="K33" s="29" t="s">
        <v>146</v>
      </c>
      <c r="L33" s="34">
        <f>1+$I$29*J33+$K$29*J33^2+$M$29*J33^5+$O$29*J33^2*(1+$K$28*J33^2)*EXP(-$K$28*J33^2)</f>
        <v>0.88359045771946321</v>
      </c>
      <c r="M33" s="27"/>
      <c r="N33" s="29">
        <v>21</v>
      </c>
      <c r="O33" s="29" t="s">
        <v>147</v>
      </c>
      <c r="P33" s="32">
        <f>0.27*Pr/(AVERAGE(L52,R32)*Tr)</f>
        <v>1.2045259646968667</v>
      </c>
      <c r="Q33" s="29" t="s">
        <v>148</v>
      </c>
      <c r="R33" s="34">
        <f>1+$I$29*P33+$K$29*P33^2+$M$29*P33^5+$O$29*P33^2*(1+$K$28*P33^2)*EXP(-$K$28*P33^2)</f>
        <v>0.92130669491266837</v>
      </c>
      <c r="S33" s="27"/>
      <c r="T33" s="15"/>
    </row>
    <row r="34" spans="2:20">
      <c r="B34" s="27"/>
      <c r="C34" s="27"/>
      <c r="D34" s="27"/>
      <c r="E34" s="27"/>
      <c r="F34" s="27"/>
      <c r="G34" s="27"/>
      <c r="H34" s="29">
        <v>2</v>
      </c>
      <c r="I34" s="29" t="s">
        <v>149</v>
      </c>
      <c r="J34" s="32">
        <f t="shared" ref="J34:J52" si="0">0.27*Pr/(AVERAGE(L32:L33)*Tr)</f>
        <v>1.1783229105020032</v>
      </c>
      <c r="K34" s="29" t="s">
        <v>150</v>
      </c>
      <c r="L34" s="34">
        <f t="shared" ref="L34:L52" si="1">1+$I$29*J34+$K$29*J34^2+$M$29*J34^5+$O$29*J34^2*(1+$K$28*J34^2)*EXP(-$K$28*J34^2)</f>
        <v>0.90976270120216451</v>
      </c>
      <c r="M34" s="27"/>
      <c r="N34" s="29">
        <v>22</v>
      </c>
      <c r="O34" s="29" t="s">
        <v>151</v>
      </c>
      <c r="P34" s="32">
        <f t="shared" ref="P34:P52" si="2">0.27*Pr/(AVERAGE(R32:R33)*Tr)</f>
        <v>1.2045265398012459</v>
      </c>
      <c r="Q34" s="29" t="s">
        <v>152</v>
      </c>
      <c r="R34" s="34">
        <f t="shared" ref="R34:R52" si="3">1+$I$29*P34+$K$29*P34^2+$M$29*P34^5+$O$29*P34^2*(1+$K$28*P34^2)*EXP(-$K$28*P34^2)</f>
        <v>0.92130695823273123</v>
      </c>
      <c r="S34" s="27"/>
      <c r="T34" s="15"/>
    </row>
    <row r="35" spans="2:20">
      <c r="B35" s="27"/>
      <c r="C35" s="27"/>
      <c r="D35" s="27"/>
      <c r="E35" s="27"/>
      <c r="F35" s="27"/>
      <c r="G35" s="27"/>
      <c r="H35" s="29">
        <v>3</v>
      </c>
      <c r="I35" s="29" t="s">
        <v>153</v>
      </c>
      <c r="J35" s="32">
        <f t="shared" si="0"/>
        <v>1.2376133386178136</v>
      </c>
      <c r="K35" s="29" t="s">
        <v>154</v>
      </c>
      <c r="L35" s="34">
        <f t="shared" si="1"/>
        <v>0.93720835412082648</v>
      </c>
      <c r="M35" s="27"/>
      <c r="N35" s="29">
        <v>23</v>
      </c>
      <c r="O35" s="29" t="s">
        <v>155</v>
      </c>
      <c r="P35" s="32">
        <f t="shared" si="2"/>
        <v>1.2045269427723384</v>
      </c>
      <c r="Q35" s="29" t="s">
        <v>156</v>
      </c>
      <c r="R35" s="34">
        <f t="shared" si="3"/>
        <v>0.92130714273928271</v>
      </c>
      <c r="S35" s="27"/>
      <c r="T35" s="15"/>
    </row>
    <row r="36" spans="2:20">
      <c r="B36" s="27"/>
      <c r="C36" s="27"/>
      <c r="D36" s="27"/>
      <c r="E36" s="27"/>
      <c r="F36" s="27"/>
      <c r="G36" s="27"/>
      <c r="H36" s="29">
        <v>4</v>
      </c>
      <c r="I36" s="29" t="s">
        <v>157</v>
      </c>
      <c r="J36" s="32">
        <f t="shared" si="0"/>
        <v>1.2016852045067183</v>
      </c>
      <c r="K36" s="29" t="s">
        <v>158</v>
      </c>
      <c r="L36" s="34">
        <f t="shared" si="1"/>
        <v>0.92001142372590194</v>
      </c>
      <c r="M36" s="27"/>
      <c r="N36" s="29">
        <v>24</v>
      </c>
      <c r="O36" s="29" t="s">
        <v>159</v>
      </c>
      <c r="P36" s="32">
        <f t="shared" si="2"/>
        <v>1.2045266500256244</v>
      </c>
      <c r="Q36" s="29" t="s">
        <v>160</v>
      </c>
      <c r="R36" s="34">
        <f t="shared" si="3"/>
        <v>0.9213070087006473</v>
      </c>
      <c r="S36" s="27"/>
      <c r="T36" s="15"/>
    </row>
    <row r="37" spans="2:20">
      <c r="B37" s="27"/>
      <c r="C37" s="27"/>
      <c r="D37" s="27"/>
      <c r="E37" s="27"/>
      <c r="F37" s="27"/>
      <c r="G37" s="27"/>
      <c r="H37" s="29">
        <v>5</v>
      </c>
      <c r="I37" s="29" t="s">
        <v>161</v>
      </c>
      <c r="J37" s="32">
        <f t="shared" si="0"/>
        <v>1.1950539278162726</v>
      </c>
      <c r="K37" s="29" t="s">
        <v>162</v>
      </c>
      <c r="L37" s="34">
        <f t="shared" si="1"/>
        <v>0.91702969116723598</v>
      </c>
      <c r="M37" s="27"/>
      <c r="N37" s="29">
        <v>25</v>
      </c>
      <c r="O37" s="29" t="s">
        <v>163</v>
      </c>
      <c r="P37" s="32">
        <f t="shared" si="2"/>
        <v>1.2045266170344799</v>
      </c>
      <c r="Q37" s="29" t="s">
        <v>164</v>
      </c>
      <c r="R37" s="34">
        <f t="shared" si="3"/>
        <v>0.9213069935951459</v>
      </c>
      <c r="S37" s="27"/>
      <c r="T37" s="15"/>
    </row>
    <row r="38" spans="2:20">
      <c r="B38" s="27"/>
      <c r="C38" s="27"/>
      <c r="D38" s="27"/>
      <c r="E38" s="27"/>
      <c r="F38" s="27"/>
      <c r="G38" s="27"/>
      <c r="H38" s="29">
        <v>6</v>
      </c>
      <c r="I38" s="29" t="s">
        <v>165</v>
      </c>
      <c r="J38" s="32">
        <f t="shared" si="0"/>
        <v>1.2081807926562964</v>
      </c>
      <c r="K38" s="29" t="s">
        <v>166</v>
      </c>
      <c r="L38" s="34">
        <f t="shared" si="1"/>
        <v>0.92298910737873152</v>
      </c>
      <c r="M38" s="27"/>
      <c r="N38" s="29">
        <v>26</v>
      </c>
      <c r="O38" s="29" t="s">
        <v>167</v>
      </c>
      <c r="P38" s="32">
        <f t="shared" si="2"/>
        <v>1.2045267145307992</v>
      </c>
      <c r="Q38" s="29" t="s">
        <v>168</v>
      </c>
      <c r="R38" s="34">
        <f t="shared" si="3"/>
        <v>0.92130703823533477</v>
      </c>
      <c r="S38" s="27"/>
      <c r="T38" s="15"/>
    </row>
    <row r="39" spans="2:20">
      <c r="B39" s="27"/>
      <c r="C39" s="27"/>
      <c r="D39" s="27"/>
      <c r="E39" s="27"/>
      <c r="F39" s="27"/>
      <c r="G39" s="27"/>
      <c r="H39" s="29">
        <v>7</v>
      </c>
      <c r="I39" s="29" t="s">
        <v>169</v>
      </c>
      <c r="J39" s="32">
        <f t="shared" si="0"/>
        <v>1.2062256060034218</v>
      </c>
      <c r="K39" s="29" t="s">
        <v>170</v>
      </c>
      <c r="L39" s="34">
        <f t="shared" si="1"/>
        <v>0.92208684334096591</v>
      </c>
      <c r="M39" s="27"/>
      <c r="N39" s="29">
        <v>27</v>
      </c>
      <c r="O39" s="29" t="s">
        <v>171</v>
      </c>
      <c r="P39" s="32">
        <f t="shared" si="2"/>
        <v>1.2045266952238149</v>
      </c>
      <c r="Q39" s="29" t="s">
        <v>172</v>
      </c>
      <c r="R39" s="34">
        <f t="shared" si="3"/>
        <v>0.92130702939533415</v>
      </c>
      <c r="S39" s="27"/>
      <c r="T39" s="15"/>
    </row>
    <row r="40" spans="2:20">
      <c r="B40" s="27"/>
      <c r="C40" s="27"/>
      <c r="D40" s="27"/>
      <c r="E40" s="27"/>
      <c r="F40" s="27"/>
      <c r="G40" s="27"/>
      <c r="H40" s="29">
        <v>8</v>
      </c>
      <c r="I40" s="29" t="s">
        <v>173</v>
      </c>
      <c r="J40" s="32">
        <f t="shared" si="0"/>
        <v>1.2029194730266035</v>
      </c>
      <c r="K40" s="29" t="s">
        <v>174</v>
      </c>
      <c r="L40" s="34">
        <f t="shared" si="1"/>
        <v>0.92057287168280144</v>
      </c>
      <c r="M40" s="27"/>
      <c r="N40" s="29">
        <v>28</v>
      </c>
      <c r="O40" s="29" t="s">
        <v>175</v>
      </c>
      <c r="P40" s="32">
        <f t="shared" si="2"/>
        <v>1.2045266718210399</v>
      </c>
      <c r="Q40" s="29" t="s">
        <v>176</v>
      </c>
      <c r="R40" s="34">
        <f t="shared" si="3"/>
        <v>0.92130701868001319</v>
      </c>
      <c r="S40" s="27"/>
      <c r="T40" s="15"/>
    </row>
    <row r="41" spans="2:20">
      <c r="B41" s="27"/>
      <c r="C41" s="27"/>
      <c r="D41" s="27"/>
      <c r="E41" s="27"/>
      <c r="F41" s="27"/>
      <c r="G41" s="27"/>
      <c r="H41" s="29">
        <v>9</v>
      </c>
      <c r="I41" s="29" t="s">
        <v>177</v>
      </c>
      <c r="J41" s="32">
        <f t="shared" si="0"/>
        <v>1.2044968326152234</v>
      </c>
      <c r="K41" s="29" t="s">
        <v>178</v>
      </c>
      <c r="L41" s="34">
        <f t="shared" si="1"/>
        <v>0.92129335693882197</v>
      </c>
      <c r="M41" s="27"/>
      <c r="N41" s="29">
        <v>29</v>
      </c>
      <c r="O41" s="29" t="s">
        <v>179</v>
      </c>
      <c r="P41" s="32">
        <f t="shared" si="2"/>
        <v>1.2045266846044582</v>
      </c>
      <c r="Q41" s="29" t="s">
        <v>180</v>
      </c>
      <c r="R41" s="34">
        <f t="shared" si="3"/>
        <v>0.9213070245330981</v>
      </c>
      <c r="S41" s="27"/>
      <c r="T41" s="15"/>
    </row>
    <row r="42" spans="2:20">
      <c r="B42" s="27"/>
      <c r="C42" s="27"/>
      <c r="D42" s="27"/>
      <c r="E42" s="27"/>
      <c r="F42" s="27"/>
      <c r="G42" s="27"/>
      <c r="H42" s="29">
        <v>10</v>
      </c>
      <c r="I42" s="29" t="s">
        <v>181</v>
      </c>
      <c r="J42" s="32">
        <f t="shared" si="0"/>
        <v>1.2050157366720184</v>
      </c>
      <c r="K42" s="29" t="s">
        <v>182</v>
      </c>
      <c r="L42" s="34">
        <f t="shared" si="1"/>
        <v>0.92153110530271976</v>
      </c>
      <c r="M42" s="27"/>
      <c r="N42" s="29">
        <v>30</v>
      </c>
      <c r="O42" s="29" t="s">
        <v>183</v>
      </c>
      <c r="P42" s="32">
        <f t="shared" si="2"/>
        <v>1.2045266877829282</v>
      </c>
      <c r="Q42" s="29" t="s">
        <v>184</v>
      </c>
      <c r="R42" s="34">
        <f t="shared" si="3"/>
        <v>0.9213070259884093</v>
      </c>
      <c r="S42" s="27"/>
      <c r="T42" s="15"/>
    </row>
    <row r="43" spans="2:20">
      <c r="B43" s="27"/>
      <c r="C43" s="27"/>
      <c r="D43" s="27"/>
      <c r="E43" s="27"/>
      <c r="F43" s="27"/>
      <c r="G43" s="27"/>
      <c r="H43" s="29">
        <v>11</v>
      </c>
      <c r="I43" s="29" t="s">
        <v>185</v>
      </c>
      <c r="J43" s="32">
        <f t="shared" si="0"/>
        <v>1.2043891514409948</v>
      </c>
      <c r="K43" s="29" t="s">
        <v>186</v>
      </c>
      <c r="L43" s="34">
        <f t="shared" si="1"/>
        <v>0.92124406556394756</v>
      </c>
      <c r="M43" s="27"/>
      <c r="N43" s="29">
        <v>31</v>
      </c>
      <c r="O43" s="29" t="s">
        <v>187</v>
      </c>
      <c r="P43" s="32">
        <f t="shared" si="2"/>
        <v>1.2045266830053902</v>
      </c>
      <c r="Q43" s="29" t="s">
        <v>188</v>
      </c>
      <c r="R43" s="34">
        <f t="shared" si="3"/>
        <v>0.92130702380094021</v>
      </c>
      <c r="S43" s="27"/>
      <c r="T43" s="15"/>
    </row>
    <row r="44" spans="2:20">
      <c r="B44" s="27"/>
      <c r="C44" s="27"/>
      <c r="D44" s="27"/>
      <c r="E44" s="27"/>
      <c r="F44" s="27"/>
      <c r="G44" s="27"/>
      <c r="H44" s="29">
        <v>12</v>
      </c>
      <c r="I44" s="29" t="s">
        <v>189</v>
      </c>
      <c r="J44" s="32">
        <f t="shared" si="0"/>
        <v>1.2044213669809569</v>
      </c>
      <c r="K44" s="29" t="s">
        <v>190</v>
      </c>
      <c r="L44" s="34">
        <f t="shared" si="1"/>
        <v>0.92125881068914062</v>
      </c>
      <c r="M44" s="27"/>
      <c r="N44" s="29">
        <v>32</v>
      </c>
      <c r="O44" s="29" t="s">
        <v>191</v>
      </c>
      <c r="P44" s="32">
        <f t="shared" si="2"/>
        <v>1.2045266834840058</v>
      </c>
      <c r="Q44" s="29" t="s">
        <v>192</v>
      </c>
      <c r="R44" s="34">
        <f t="shared" si="3"/>
        <v>0.92130702402008158</v>
      </c>
      <c r="S44" s="27"/>
      <c r="T44" s="15"/>
    </row>
    <row r="45" spans="2:20">
      <c r="B45" s="27"/>
      <c r="C45" s="27"/>
      <c r="D45" s="27"/>
      <c r="E45" s="27"/>
      <c r="F45" s="27"/>
      <c r="G45" s="27"/>
      <c r="H45" s="29">
        <v>13</v>
      </c>
      <c r="I45" s="29" t="s">
        <v>193</v>
      </c>
      <c r="J45" s="32">
        <f t="shared" si="0"/>
        <v>1.2045993626057863</v>
      </c>
      <c r="K45" s="29" t="s">
        <v>194</v>
      </c>
      <c r="L45" s="34">
        <f t="shared" si="1"/>
        <v>0.92134030482443552</v>
      </c>
      <c r="M45" s="27"/>
      <c r="N45" s="29">
        <v>33</v>
      </c>
      <c r="O45" s="29" t="s">
        <v>195</v>
      </c>
      <c r="P45" s="32">
        <f t="shared" si="2"/>
        <v>1.2045266847707121</v>
      </c>
      <c r="Q45" s="29" t="s">
        <v>196</v>
      </c>
      <c r="R45" s="34">
        <f t="shared" si="3"/>
        <v>0.92130702460921987</v>
      </c>
      <c r="S45" s="27"/>
      <c r="T45" s="15"/>
    </row>
    <row r="46" spans="2:20">
      <c r="B46" s="27"/>
      <c r="C46" s="27"/>
      <c r="D46" s="27"/>
      <c r="E46" s="27"/>
      <c r="F46" s="27"/>
      <c r="G46" s="27"/>
      <c r="H46" s="29">
        <v>14</v>
      </c>
      <c r="I46" s="29" t="s">
        <v>197</v>
      </c>
      <c r="J46" s="32">
        <f t="shared" si="0"/>
        <v>1.2045364461792747</v>
      </c>
      <c r="K46" s="29" t="s">
        <v>198</v>
      </c>
      <c r="L46" s="34">
        <f t="shared" si="1"/>
        <v>0.92131149408448554</v>
      </c>
      <c r="M46" s="27"/>
      <c r="N46" s="29">
        <v>34</v>
      </c>
      <c r="O46" s="29" t="s">
        <v>199</v>
      </c>
      <c r="P46" s="32">
        <f t="shared" si="2"/>
        <v>1.2045266842423354</v>
      </c>
      <c r="Q46" s="29" t="s">
        <v>200</v>
      </c>
      <c r="R46" s="34">
        <f t="shared" si="3"/>
        <v>0.92130702436729472</v>
      </c>
      <c r="S46" s="27"/>
      <c r="T46" s="15"/>
    </row>
    <row r="47" spans="2:20">
      <c r="B47" s="27"/>
      <c r="C47" s="27"/>
      <c r="D47" s="27"/>
      <c r="E47" s="27"/>
      <c r="F47" s="27"/>
      <c r="G47" s="27"/>
      <c r="H47" s="29">
        <v>15</v>
      </c>
      <c r="I47" s="29" t="s">
        <v>201</v>
      </c>
      <c r="J47" s="32">
        <f t="shared" si="0"/>
        <v>1.2045020071876873</v>
      </c>
      <c r="K47" s="29" t="s">
        <v>202</v>
      </c>
      <c r="L47" s="34">
        <f t="shared" si="1"/>
        <v>0.92129572600693743</v>
      </c>
      <c r="M47" s="27"/>
      <c r="N47" s="29">
        <v>35</v>
      </c>
      <c r="O47" s="29" t="s">
        <v>203</v>
      </c>
      <c r="P47" s="32">
        <f t="shared" si="2"/>
        <v>1.2045266840153603</v>
      </c>
      <c r="Q47" s="29" t="s">
        <v>204</v>
      </c>
      <c r="R47" s="34">
        <f t="shared" si="3"/>
        <v>0.92130702426337041</v>
      </c>
      <c r="S47" s="27"/>
      <c r="T47" s="15"/>
    </row>
    <row r="48" spans="2:20">
      <c r="B48" s="27"/>
      <c r="C48" s="27"/>
      <c r="D48" s="27"/>
      <c r="E48" s="27"/>
      <c r="F48" s="27"/>
      <c r="G48" s="27"/>
      <c r="H48" s="29">
        <v>16</v>
      </c>
      <c r="I48" s="29" t="s">
        <v>205</v>
      </c>
      <c r="J48" s="32">
        <f t="shared" si="0"/>
        <v>1.2045311481107059</v>
      </c>
      <c r="K48" s="29" t="s">
        <v>206</v>
      </c>
      <c r="L48" s="34">
        <f t="shared" si="1"/>
        <v>0.92130906823156034</v>
      </c>
      <c r="M48" s="27"/>
      <c r="N48" s="29">
        <v>36</v>
      </c>
      <c r="O48" s="29" t="s">
        <v>207</v>
      </c>
      <c r="P48" s="32">
        <f t="shared" si="2"/>
        <v>1.2045266842414439</v>
      </c>
      <c r="Q48" s="29" t="s">
        <v>208</v>
      </c>
      <c r="R48" s="34">
        <f t="shared" si="3"/>
        <v>0.92130702436688627</v>
      </c>
      <c r="S48" s="27"/>
      <c r="T48" s="15"/>
    </row>
    <row r="49" spans="2:20">
      <c r="B49" s="27"/>
      <c r="C49" s="27"/>
      <c r="D49" s="27"/>
      <c r="E49" s="27"/>
      <c r="F49" s="27"/>
      <c r="G49" s="27"/>
      <c r="H49" s="29">
        <v>17</v>
      </c>
      <c r="I49" s="29" t="s">
        <v>209</v>
      </c>
      <c r="J49" s="32">
        <f t="shared" si="0"/>
        <v>1.2045327339176126</v>
      </c>
      <c r="K49" s="29" t="s">
        <v>210</v>
      </c>
      <c r="L49" s="34">
        <f t="shared" si="1"/>
        <v>0.92130979432887627</v>
      </c>
      <c r="M49" s="27"/>
      <c r="N49" s="29">
        <v>37</v>
      </c>
      <c r="O49" s="29" t="s">
        <v>211</v>
      </c>
      <c r="P49" s="32">
        <f t="shared" si="2"/>
        <v>1.2045266842417111</v>
      </c>
      <c r="Q49" s="29" t="s">
        <v>212</v>
      </c>
      <c r="R49" s="34">
        <f t="shared" si="3"/>
        <v>0.92130702436700873</v>
      </c>
      <c r="S49" s="27"/>
      <c r="T49" s="15"/>
    </row>
    <row r="50" spans="2:20">
      <c r="B50" s="27"/>
      <c r="C50" s="27"/>
      <c r="D50" s="27"/>
      <c r="E50" s="27"/>
      <c r="F50" s="27"/>
      <c r="G50" s="27"/>
      <c r="H50" s="29">
        <v>18</v>
      </c>
      <c r="I50" s="29" t="s">
        <v>213</v>
      </c>
      <c r="J50" s="32">
        <f t="shared" si="0"/>
        <v>1.2045235373579601</v>
      </c>
      <c r="K50" s="29" t="s">
        <v>214</v>
      </c>
      <c r="L50" s="34">
        <f t="shared" si="1"/>
        <v>0.92130558352447434</v>
      </c>
      <c r="M50" s="27"/>
      <c r="N50" s="29">
        <v>38</v>
      </c>
      <c r="O50" s="29" t="s">
        <v>215</v>
      </c>
      <c r="P50" s="32">
        <f t="shared" si="2"/>
        <v>1.2045266841739621</v>
      </c>
      <c r="Q50" s="29" t="s">
        <v>216</v>
      </c>
      <c r="R50" s="34">
        <f t="shared" si="3"/>
        <v>0.92130702433598866</v>
      </c>
      <c r="S50" s="27"/>
      <c r="T50" s="15"/>
    </row>
    <row r="51" spans="2:20">
      <c r="B51" s="27"/>
      <c r="C51" s="27"/>
      <c r="D51" s="27"/>
      <c r="E51" s="27"/>
      <c r="F51" s="27"/>
      <c r="G51" s="27"/>
      <c r="H51" s="29">
        <v>19</v>
      </c>
      <c r="I51" s="29" t="s">
        <v>217</v>
      </c>
      <c r="J51" s="32">
        <f t="shared" si="0"/>
        <v>1.2045258153220735</v>
      </c>
      <c r="K51" s="29" t="s">
        <v>218</v>
      </c>
      <c r="L51" s="34">
        <f t="shared" si="1"/>
        <v>0.92130662651927842</v>
      </c>
      <c r="M51" s="27"/>
      <c r="N51" s="29">
        <v>39</v>
      </c>
      <c r="O51" s="29" t="s">
        <v>219</v>
      </c>
      <c r="P51" s="32">
        <f t="shared" si="2"/>
        <v>1.20452668419416</v>
      </c>
      <c r="Q51" s="29" t="s">
        <v>220</v>
      </c>
      <c r="R51" s="34">
        <f t="shared" si="3"/>
        <v>0.9213070243452367</v>
      </c>
      <c r="S51" s="27"/>
      <c r="T51" s="15"/>
    </row>
    <row r="52" spans="2:20">
      <c r="B52" s="27"/>
      <c r="C52" s="27"/>
      <c r="D52" s="27"/>
      <c r="E52" s="27"/>
      <c r="F52" s="27"/>
      <c r="G52" s="27"/>
      <c r="H52" s="29">
        <v>20</v>
      </c>
      <c r="I52" s="29" t="s">
        <v>221</v>
      </c>
      <c r="J52" s="32">
        <f t="shared" si="0"/>
        <v>1.204527886136767</v>
      </c>
      <c r="K52" s="29" t="s">
        <v>144</v>
      </c>
      <c r="L52" s="34">
        <f t="shared" si="1"/>
        <v>0.92130757467413993</v>
      </c>
      <c r="M52" s="27"/>
      <c r="N52" s="29">
        <v>40</v>
      </c>
      <c r="O52" s="29" t="s">
        <v>222</v>
      </c>
      <c r="P52" s="32">
        <f t="shared" si="2"/>
        <v>1.2045266842083924</v>
      </c>
      <c r="Q52" s="29" t="s">
        <v>223</v>
      </c>
      <c r="R52" s="34">
        <f t="shared" si="3"/>
        <v>0.92130702435175316</v>
      </c>
      <c r="S52" s="27"/>
      <c r="T52" s="15"/>
    </row>
    <row r="53" spans="2:20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5"/>
    </row>
    <row r="54" spans="2:20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20" ht="15.75">
      <c r="B55" s="40" t="s">
        <v>224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20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20">
      <c r="B57" s="29" t="s">
        <v>225</v>
      </c>
      <c r="C57" s="25"/>
      <c r="D57" s="25"/>
      <c r="E57" s="32">
        <f>E27*(E6+Z13)/Pressure_psia*I57</f>
        <v>4.0249438350115343E-3</v>
      </c>
      <c r="F57" s="29" t="s">
        <v>115</v>
      </c>
      <c r="G57" s="27"/>
      <c r="H57" s="29" t="s">
        <v>226</v>
      </c>
      <c r="I57" s="30">
        <v>2.8301E-2</v>
      </c>
      <c r="J57" s="35" t="s">
        <v>227</v>
      </c>
      <c r="K57" s="29" t="s">
        <v>228</v>
      </c>
      <c r="L57" s="32">
        <v>0.99923978155631088</v>
      </c>
      <c r="M57" s="25"/>
      <c r="N57" s="25"/>
      <c r="O57" s="25"/>
      <c r="P57" s="25"/>
      <c r="Q57" s="25"/>
      <c r="R57" s="25"/>
      <c r="S57" s="25"/>
    </row>
    <row r="58" spans="2:20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2:20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2:20" ht="15.75">
      <c r="B60" s="40" t="s">
        <v>229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2" spans="2:20">
      <c r="B62" s="29" t="s">
        <v>230</v>
      </c>
      <c r="C62" s="32">
        <f>E62*Z14</f>
        <v>243.24314577601905</v>
      </c>
      <c r="D62" s="29" t="s">
        <v>109</v>
      </c>
      <c r="E62" s="32">
        <f>L62*GasSG/E57</f>
        <v>15.185138794270316</v>
      </c>
      <c r="F62" s="29" t="s">
        <v>108</v>
      </c>
      <c r="G62" s="22"/>
      <c r="H62" s="23" t="s">
        <v>231</v>
      </c>
      <c r="I62" s="33">
        <v>1.2237999999999999E-3</v>
      </c>
      <c r="J62" s="37" t="s">
        <v>111</v>
      </c>
      <c r="K62" s="23" t="s">
        <v>231</v>
      </c>
      <c r="L62" s="36">
        <f>I62/Z15</f>
        <v>7.6399163467240988E-2</v>
      </c>
      <c r="M62" s="37" t="s">
        <v>110</v>
      </c>
    </row>
  </sheetData>
  <protectedRanges>
    <protectedRange algorithmName="SHA-512" hashValue="xavZyZooQrEuyn4Y6pnWqGfRe56YEn4If39v5OHo8b1ZLgMD6mykA0zCc4CQ2flMkkx9NOnGTL5A+SlAS+6stQ==" saltValue="quO48cmjjpE12ZSzMtGAYg==" spinCount="100000" sqref="B9:AD54 W3:AB8" name="Gas Density Cacl"/>
  </protectedRanges>
  <mergeCells count="5">
    <mergeCell ref="C13:D13"/>
    <mergeCell ref="E13:F13"/>
    <mergeCell ref="Z5:AA5"/>
    <mergeCell ref="W5:X5"/>
    <mergeCell ref="H13:S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Statoil retention and labelling</p:Name>
  <p:Description>Adds a label containing the security classification to all documents. Files a copy as a Legal Record to Meridio one day after a document is declared as a record.</p:Description>
  <p:Statement>Ensures document labelling and retention according to Statoil information management policy.</p:Statement>
  <p:PolicyItems>
    <p:PolicyItem featureId="Microsoft.Office.RecordsManagement.PolicyFeatures.Expiration" staticId="0x010100F7AC974578254811A4E2A32DB0F95ACD0A|-1775281733" UniqueId="ff7852d8-73cc-4b1c-aa3e-2ee3eddb8bea">
      <p:Name>Retention</p:Name>
      <p:Description>Automatic scheduling of content for processing, and performing a retention action on content that has reached its due date.</p:Description>
      <p:CustomData>
        <Schedules default="false" nextStageId="3">
          <Schedule type="Default">
            <stages>
              <data stageId="1">
                <formula id="Status Sent to archive"/>
                <action id="Microsoft.Office.RecordsManagement.PolicyFeatures.Expiration.Action.Record" type="action"/>
              </data>
            </stages>
          </Schedule>
          <Schedule type="Record">
            <stages>
              <data stageId="2">
                <formula id="Microsoft.Office.RecordsManagement.PolicyFeatures.Expiration.Formula.BuiltIn">
                  <number>1</number>
                  <property>_vti_ItemDeclaredRecord</property>
                  <propertyId>f9a44731-84eb-43a4-9973-cd2953ad8646</propertyId>
                  <period>days</period>
                </formula>
                <action type="workflow" id="b9d69b10-0387-4b66-b8f7-fb48eec7645c"/>
              </data>
            </stages>
          </Schedule>
        </Schedules>
      </p:CustomData>
    </p:PolicyItem>
    <p:PolicyItem featureId="Ncas.PolicyFeatures.PolicyForHeaderAndFooter" staticId="0x010100F7AC974578254811A4E2A32DB0F95ACD0A|915892616" UniqueId="e5168f86-4440-42ad-af16-e122e5a6f788">
      <p:Name>Statoil document labelling policy</p:Name>
      <p:Description/>
      <p:CustomData>
        <data>
          <keywords>FalsexTruexTruexTrue</keywords>
          <label>Security Classification: {Security Classification} - Status: {Status}</label>
          <fieldlist>Security Classification;Organisation;Process</fieldlist>
          <fontsize>8</fontsize>
          <fontcolor>#000000</fontcolor>
        </data>
      </p:CustomData>
    </p:PolicyItem>
  </p:PolicyItems>
</p:Policy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  <Receiver>
    <Name>PolicyForHeaderAndFooter</Name>
    <Synchronization>Synchronous</Synchronization>
    <Type>10001</Type>
    <SequenceNumber>1000</SequenceNumber>
    <Assembly>Ncas.Collaboration.CustomPolicy, Version=1.0.0.0, Culture=neutral, PublicKeyToken=adb52bf0495cf7ab</Assembly>
    <Class> Ncas.Collaboration.CustomPolicy.CheckInPolicy.ApplyPolicyToDocument</Class>
    <Data/>
    <Filter/>
  </Receiver>
  <Receiver>
    <Name>PolicyForHeaderAndFooter</Name>
    <Synchronization>Synchronous</Synchronization>
    <Type>10002</Type>
    <SequenceNumber>1000</SequenceNumber>
    <Assembly>Ncas.Collaboration.CustomPolicy, Version=1.0.0.0, Culture=neutral, PublicKeyToken=adb52bf0495cf7ab</Assembly>
    <Class> Ncas.Collaboration.CustomPolicy.CheckInPolicy.ApplyPolicyToDocument</Class>
    <Data/>
    <Filter/>
  </Receiver>
</spe:Receivers>
</file>

<file path=customXml/item3.xml><?xml version="1.0" encoding="utf-8"?>
<?mso-contentType ?>
<SharedContentType xmlns="Microsoft.SharePoint.Taxonomy.ContentTypeSync" SourceId="cda95b1f-d928-4d6d-948e-61bff6dae232" ContentTypeId="0x010100F7AC974578254811A4E2A32DB0F95ACD0A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7ea744-38d1-4a71-9f69-726aa276fcfa">
      <Value>1</Value>
      <Value>3</Value>
      <Value>12</Value>
    </TaxCatchAll>
    <ProcessTaxHTField0 xmlns="b17ea744-38d1-4a71-9f69-726aa276fcf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Petroleum technology (PETEC)</TermName>
          <TermId xmlns="http://schemas.microsoft.com/office/infopath/2007/PartnerControls">73849877-4db7-4026-891d-4171b458f2df</TermId>
        </TermInfo>
      </Terms>
    </ProcessTaxHTField0>
    <c5848044411f4fa98adf11314f0721e6 xmlns="6785d7e4-30f9-4d22-96e9-feb741109b78">
      <Terms xmlns="http://schemas.microsoft.com/office/infopath/2007/PartnerControls"/>
    </c5848044411f4fa98adf11314f0721e6>
    <OrganisationTaxHTField0 xmlns="b17ea744-38d1-4a71-9f69-726aa276fcfa">
      <Terms xmlns="http://schemas.microsoft.com/office/infopath/2007/PartnerControls">
        <TermInfo xmlns="http://schemas.microsoft.com/office/infopath/2007/PartnerControls">
          <TermName xmlns="http://schemas.microsoft.com/office/infopath/2007/PartnerControls">DPN OTE PTC PT PRODUCTION SUPPORT (PTC PT PS)</TermName>
          <TermId xmlns="http://schemas.microsoft.com/office/infopath/2007/PartnerControls">e69ca0db-d678-4964-9f16-4702fb9102a7</TermId>
        </TermInfo>
      </Terms>
    </OrganisationTaxHTField0>
    <SecurityClassificationTaxHTField0 xmlns="b17ea744-38d1-4a71-9f69-726aa276fcfa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3f97380a-aecf-4500-b684-b7a8fb7ac2b7</TermId>
        </TermInfo>
      </Terms>
    </SecurityClassificationTaxHTField0>
    <kee2b1491f954baf883e7abae48d7e08 xmlns="6785d7e4-30f9-4d22-96e9-feb741109b78">
      <Terms xmlns="http://schemas.microsoft.com/office/infopath/2007/PartnerControls"/>
    </kee2b1491f954baf883e7abae48d7e08>
    <g67e43ba57304fe6b66f46d1274ae932 xmlns="6785d7e4-30f9-4d22-96e9-feb741109b78">
      <Terms xmlns="http://schemas.microsoft.com/office/infopath/2007/PartnerControls"/>
    </g67e43ba57304fe6b66f46d1274ae932>
    <db03e935fd354626b017cf2be44bd81c xmlns="6785d7e4-30f9-4d22-96e9-feb741109b78">
      <Terms xmlns="http://schemas.microsoft.com/office/infopath/2007/PartnerControls"/>
    </db03e935fd354626b017cf2be44bd81c>
    <a3737954212a4365bd4a4ce04e6953df xmlns="6785d7e4-30f9-4d22-96e9-feb741109b78">
      <Terms xmlns="http://schemas.microsoft.com/office/infopath/2007/PartnerControls"/>
    </a3737954212a4365bd4a4ce04e6953df>
    <p0b731bc638b430cb34e1631fc6e70d8 xmlns="6785d7e4-30f9-4d22-96e9-feb741109b78">
      <Terms xmlns="http://schemas.microsoft.com/office/infopath/2007/PartnerControls"/>
    </p0b731bc638b430cb34e1631fc6e70d8>
    <Document_x0020_status xmlns="6785d7e4-30f9-4d22-96e9-feb741109b78">Draft</Document_x0020_status>
    <Comments xmlns="http://schemas.microsoft.com/sharepoint/v3" xsi:nil="true"/>
    <_dlc_DocId xmlns="b17ea744-38d1-4a71-9f69-726aa276fcfa">8a0af3c1-7585-4701-8e29-52d5e93c5d98</_dlc_DocId>
    <_dlc_DocIdUrl xmlns="b17ea744-38d1-4a71-9f69-726aa276fcfa">
      <Url>http://team.statoil.com/sites/ts-25317/WHALPublic/_layouts/DocIdRedir.aspx?ID=8a0af3c1-7585-4701-8e29-52d5e93c5d98</Url>
      <Description>8a0af3c1-7585-4701-8e29-52d5e93c5d98</Description>
    </_dlc_DocIdUrl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Excel Workbook" ma:contentTypeID="0x010100F7AC974578254811A4E2A32DB0F95ACD0A000C39B01E2C700642835D63B7EC91DD80" ma:contentTypeVersion="25" ma:contentTypeDescription="Create a new Excel workbook." ma:contentTypeScope="" ma:versionID="9b0657f884edfd752afb2ea345e7e669">
  <xsd:schema xmlns:xsd="http://www.w3.org/2001/XMLSchema" xmlns:xs="http://www.w3.org/2001/XMLSchema" xmlns:p="http://schemas.microsoft.com/office/2006/metadata/properties" xmlns:ns1="http://schemas.microsoft.com/sharepoint/v3" xmlns:ns2="b17ea744-38d1-4a71-9f69-726aa276fcfa" xmlns:ns3="6785d7e4-30f9-4d22-96e9-feb741109b78" targetNamespace="http://schemas.microsoft.com/office/2006/metadata/properties" ma:root="true" ma:fieldsID="9b856d0044ece0204586e7f45b9fbbed" ns1:_="" ns2:_="" ns3:_="">
    <xsd:import namespace="http://schemas.microsoft.com/sharepoint/v3"/>
    <xsd:import namespace="b17ea744-38d1-4a71-9f69-726aa276fcfa"/>
    <xsd:import namespace="6785d7e4-30f9-4d22-96e9-feb741109b7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Comments" minOccurs="0"/>
                <xsd:element ref="ns3:Document_x0020_status"/>
                <xsd:element ref="ns2:OrganisationTaxHTField0" minOccurs="0"/>
                <xsd:element ref="ns2:TaxCatchAll" minOccurs="0"/>
                <xsd:element ref="ns2:TaxCatchAllLabel" minOccurs="0"/>
                <xsd:element ref="ns2:ProcessTaxHTField0" minOccurs="0"/>
                <xsd:element ref="ns2:SecurityClassificationTaxHTField0" minOccurs="0"/>
                <xsd:element ref="ns1:_dlc_Exempt" minOccurs="0"/>
                <xsd:element ref="ns1:_dlc_ExpireDateSaved" minOccurs="0"/>
                <xsd:element ref="ns1:_dlc_ExpireDate" minOccurs="0"/>
                <xsd:element ref="ns3:db03e935fd354626b017cf2be44bd81c" minOccurs="0"/>
                <xsd:element ref="ns3:c5848044411f4fa98adf11314f0721e6" minOccurs="0"/>
                <xsd:element ref="ns3:kee2b1491f954baf883e7abae48d7e08" minOccurs="0"/>
                <xsd:element ref="ns3:a3737954212a4365bd4a4ce04e6953df" minOccurs="0"/>
                <xsd:element ref="ns3:g67e43ba57304fe6b66f46d1274ae932" minOccurs="0"/>
                <xsd:element ref="ns3:p0b731bc638b430cb34e1631fc6e70d8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11" nillable="true" ma:displayName="Comments" ma:internalName="Comments" ma:readOnly="false">
      <xsd:simpleType>
        <xsd:restriction base="dms:Note">
          <xsd:maxLength value="255"/>
        </xsd:restriction>
      </xsd:simpleType>
    </xsd:element>
    <xsd:element name="_dlc_Exempt" ma:index="21" nillable="true" ma:displayName="Exempt from Policy" ma:description="" ma:hidden="true" ma:internalName="_dlc_Exempt" ma:readOnly="true">
      <xsd:simpleType>
        <xsd:restriction base="dms:Unknown"/>
      </xsd:simpleType>
    </xsd:element>
    <xsd:element name="_dlc_ExpireDateSaved" ma:index="22" nillable="true" ma:displayName="Original Expiration Date" ma:description="" ma:hidden="true" ma:internalName="_dlc_ExpireDateSaved" ma:readOnly="true">
      <xsd:simpleType>
        <xsd:restriction base="dms:DateTime"/>
      </xsd:simpleType>
    </xsd:element>
    <xsd:element name="_dlc_ExpireDate" ma:index="23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a744-38d1-4a71-9f69-726aa276fc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OrganisationTaxHTField0" ma:index="13" ma:taxonomy="true" ma:internalName="OrganisationTaxHTField0" ma:taxonomyFieldName="Organisation" ma:displayName="Organisation" ma:readOnly="false" ma:fieldId="{ce47518d-aabe-4849-b97c-60b86d4d3aa4}" ma:sspId="cda95b1f-d928-4d6d-948e-61bff6dae232" ma:termSetId="083c5b55-c594-4334-af18-825e0874507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description="" ma:hidden="true" ma:list="{344d01f5-15dc-46b1-a01e-35ff03d00a0d}" ma:internalName="TaxCatchAll" ma:showField="CatchAllData" ma:web="6785d7e4-30f9-4d22-96e9-feb741109b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description="" ma:hidden="true" ma:list="{344d01f5-15dc-46b1-a01e-35ff03d00a0d}" ma:internalName="TaxCatchAllLabel" ma:readOnly="true" ma:showField="CatchAllDataLabel" ma:web="6785d7e4-30f9-4d22-96e9-feb741109b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rocessTaxHTField0" ma:index="17" ma:taxonomy="true" ma:internalName="ProcessTaxHTField0" ma:taxonomyFieldName="Process" ma:displayName="Process" ma:readOnly="false" ma:fieldId="{cf54353a-d5f3-4406-bb28-57e132cd03b5}" ma:sspId="cda95b1f-d928-4d6d-948e-61bff6dae232" ma:termSetId="1e61085d-668a-4ac3-b3a9-3ec5fc37e94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curityClassificationTaxHTField0" ma:index="19" ma:taxonomy="true" ma:internalName="SecurityClassificationTaxHTField0" ma:taxonomyFieldName="SecurityClassification" ma:displayName="Security Classification" ma:readOnly="false" ma:default="1;#Internal|3f97380a-aecf-4500-b684-b7a8fb7ac2b7" ma:fieldId="{be4fd496-4d16-48e7-ac00-387dd0149b64}" ma:sspId="cda95b1f-d928-4d6d-948e-61bff6dae232" ma:termSetId="b87b6b70-c067-4d50-a8a5-b6242aa022a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5d7e4-30f9-4d22-96e9-feb741109b78" elementFormDefault="qualified">
    <xsd:import namespace="http://schemas.microsoft.com/office/2006/documentManagement/types"/>
    <xsd:import namespace="http://schemas.microsoft.com/office/infopath/2007/PartnerControls"/>
    <xsd:element name="Document_x0020_status" ma:index="12" ma:displayName="Status" ma:default="Draft" ma:description="Status of the information object." ma:format="Dropdown" ma:internalName="Document_x0020_status" ma:readOnly="false">
      <xsd:simpleType>
        <xsd:restriction base="dms:Choice">
          <xsd:enumeration value="Draft"/>
          <xsd:enumeration value="Final"/>
          <xsd:enumeration value="Sent to archive"/>
        </xsd:restriction>
      </xsd:simpleType>
    </xsd:element>
    <xsd:element name="db03e935fd354626b017cf2be44bd81c" ma:index="25" nillable="true" ma:taxonomy="true" ma:internalName="db03e935fd354626b017cf2be44bd81c" ma:taxonomyFieldName="Country" ma:displayName="Country" ma:fieldId="{db03e935-fd35-4626-b017-cf2be44bd81c}" ma:sspId="cda95b1f-d928-4d6d-948e-61bff6dae232" ma:termSetId="1a37c2ac-c76c-4820-be37-ffa323180fb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5848044411f4fa98adf11314f0721e6" ma:index="27" nillable="true" ma:taxonomy="true" ma:internalName="c5848044411f4fa98adf11314f0721e6" ma:taxonomyFieldName="Field_x0020_Identifier" ma:displayName="Field Identifier" ma:fieldId="{c5848044-411f-4fa9-8adf-11314f0721e6}" ma:sspId="cda95b1f-d928-4d6d-948e-61bff6dae232" ma:termSetId="137483e1-da5c-4637-91ad-090ae0ad25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ee2b1491f954baf883e7abae48d7e08" ma:index="29" nillable="true" ma:taxonomy="true" ma:internalName="kee2b1491f954baf883e7abae48d7e08" ma:taxonomyFieldName="License_x002f_Concession_x0020_Part" ma:displayName="License/Concession Part" ma:fieldId="{4ee2b149-1f95-4baf-883e-7abae48d7e08}" ma:sspId="cda95b1f-d928-4d6d-948e-61bff6dae232" ma:termSetId="54686d82-1623-4df8-a5f7-cd7113453f9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737954212a4365bd4a4ce04e6953df" ma:index="31" nillable="true" ma:taxonomy="true" ma:internalName="a3737954212a4365bd4a4ce04e6953df" ma:taxonomyFieldName="Technical_x0020_Document_x0020_Type" ma:displayName="Technical Document Type" ma:fieldId="{a3737954-212a-4365-bd4a-4ce04e6953df}" ma:sspId="cda95b1f-d928-4d6d-948e-61bff6dae232" ma:termSetId="87209658-c366-4f92-ac4a-548bf3d3ba2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67e43ba57304fe6b66f46d1274ae932" ma:index="33" nillable="true" ma:taxonomy="true" ma:internalName="g67e43ba57304fe6b66f46d1274ae932" ma:taxonomyFieldName="Decision_x0020_Gate_x002f_Milestone" ma:displayName="Decision Gate/Milestone" ma:fieldId="{067e43ba-5730-4fe6-b66f-46d1274ae932}" ma:sspId="cda95b1f-d928-4d6d-948e-61bff6dae232" ma:termSetId="54b26842-12e0-44c4-bc76-db3abe8f39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0b731bc638b430cb34e1631fc6e70d8" ma:index="35" nillable="true" ma:taxonomy="true" ma:internalName="p0b731bc638b430cb34e1631fc6e70d8" ma:taxonomyFieldName="Discipline_x0020_Area" ma:displayName="Discipline Area" ma:fieldId="{90b731bc-638b-430c-b34e-1631fc6e70d8}" ma:sspId="cda95b1f-d928-4d6d-948e-61bff6dae232" ma:termSetId="d0e8028c-e950-4107-8dde-700ef744bdc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C3748B-FCF3-4223-88A8-5BDFB44152A8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5B27793C-44DF-47C0-9410-90E03D1F85F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76AA376-9E36-4260-A2C9-A81F95FA412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3FC57DB4-0B09-40D1-BA61-ADA07C23F3CD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b17ea744-38d1-4a71-9f69-726aa276fcfa"/>
    <ds:schemaRef ds:uri="http://schemas.openxmlformats.org/package/2006/metadata/core-properties"/>
    <ds:schemaRef ds:uri="http://purl.org/dc/elements/1.1/"/>
    <ds:schemaRef ds:uri="6785d7e4-30f9-4d22-96e9-feb741109b78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B9599C43-DBE0-4C54-A03D-70C11D8C44E8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2EAD6A59-F230-473D-B3D1-18E989A0C3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17ea744-38d1-4a71-9f69-726aa276fcfa"/>
    <ds:schemaRef ds:uri="6785d7e4-30f9-4d22-96e9-feb741109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074AE15D-801A-4800-9A37-EDAEF2C98F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Two Phase Calculation</vt:lpstr>
      <vt:lpstr>Single Phase Gas Calculation</vt:lpstr>
      <vt:lpstr>Gas Density Calculator</vt:lpstr>
      <vt:lpstr>GasSG</vt:lpstr>
      <vt:lpstr>Pr</vt:lpstr>
      <vt:lpstr>Pressure_Bara</vt:lpstr>
      <vt:lpstr>Pressure_psia</vt:lpstr>
      <vt:lpstr>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Hume</dc:creator>
  <cp:keywords/>
  <dc:description/>
  <cp:lastModifiedBy>Thorjan Knudsvik</cp:lastModifiedBy>
  <cp:revision/>
  <dcterms:created xsi:type="dcterms:W3CDTF">2017-01-06T07:37:00Z</dcterms:created>
  <dcterms:modified xsi:type="dcterms:W3CDTF">2019-06-18T08:07:47Z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0x010100F7AC974578254811A4E2A32DB0F95ACD0A000C39B01E2C700642835D63B7EC91DD80</vt:lpwstr>
  </property>
  <property fmtid="{D5CDD505-2E9C-101B-9397-08002B2CF9AE}" pid="3" name="Organisation">
    <vt:lpwstr>12</vt:lpwstr>
  </property>
  <property fmtid="{D5CDD505-2E9C-101B-9397-08002B2CF9AE}" pid="4" name="Process">
    <vt:lpwstr>3</vt:lpwstr>
  </property>
  <property fmtid="{D5CDD505-2E9C-101B-9397-08002B2CF9AE}" pid="5" name="SecurityClassification">
    <vt:lpwstr>1</vt:lpwstr>
  </property>
  <property fmtid="{D5CDD505-2E9C-101B-9397-08002B2CF9AE}" pid="6" name="_dlc_policyId">
    <vt:lpwstr>0x010100F7AC974578254811A4E2A32DB0F95ACD0A|-1775281733</vt:lpwstr>
  </property>
  <property fmtid="{D5CDD505-2E9C-101B-9397-08002B2CF9AE}" pid="7" name="ItemRetentionFormula">
    <vt:lpwstr>&lt;formula id="Status Sent to archive" /&gt;</vt:lpwstr>
  </property>
  <property fmtid="{D5CDD505-2E9C-101B-9397-08002B2CF9AE}" pid="8" name="_dlc_DocIdItemGuid">
    <vt:lpwstr>9a8f77e0-73de-4a19-a361-aaa07d32c9bd</vt:lpwstr>
  </property>
</Properties>
</file>