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unk\UWP\SampleBrowser\SampleBrowser\CellGrid\Tutorials\Assets\"/>
    </mc:Choice>
  </mc:AlternateContent>
  <bookViews>
    <workbookView xWindow="0" yWindow="0" windowWidth="19200" windowHeight="7050"/>
  </bookViews>
  <sheets>
    <sheet name="Good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8" i="1"/>
  <c r="B9" i="1"/>
  <c r="B10" i="1"/>
  <c r="B13" i="1"/>
  <c r="B14" i="1"/>
  <c r="B17" i="1"/>
  <c r="B18" i="1"/>
  <c r="B19" i="1"/>
  <c r="B22" i="1"/>
  <c r="B23" i="1"/>
  <c r="B24" i="1"/>
  <c r="B27" i="1"/>
  <c r="B28" i="1"/>
  <c r="B29" i="1"/>
  <c r="B32" i="1"/>
  <c r="B33" i="1"/>
  <c r="B36" i="1"/>
  <c r="B37" i="1"/>
  <c r="B38" i="1"/>
  <c r="B41" i="1"/>
  <c r="B42" i="1"/>
  <c r="B43" i="1"/>
  <c r="B44" i="1"/>
  <c r="B47" i="1"/>
  <c r="B48" i="1"/>
  <c r="B58" i="1"/>
  <c r="B66" i="1"/>
  <c r="B67" i="1"/>
  <c r="B76" i="1"/>
  <c r="B77" i="1"/>
  <c r="B83" i="1"/>
  <c r="B86" i="1"/>
  <c r="B87" i="1"/>
  <c r="B88" i="1"/>
  <c r="B89" i="1"/>
  <c r="B90" i="1"/>
  <c r="B95" i="1"/>
  <c r="B100" i="1"/>
  <c r="B112" i="1"/>
  <c r="B118" i="1"/>
  <c r="B124" i="1"/>
  <c r="B132" i="1"/>
  <c r="B135" i="1"/>
  <c r="B136" i="1"/>
  <c r="B137" i="1"/>
  <c r="B140" i="1"/>
  <c r="B141" i="1"/>
  <c r="B151" i="1"/>
  <c r="B152" i="1"/>
  <c r="B153" i="1"/>
  <c r="B156" i="1"/>
  <c r="B157" i="1"/>
  <c r="B158" i="1"/>
  <c r="B159" i="1"/>
  <c r="C163" i="1"/>
  <c r="B166" i="1" s="1"/>
  <c r="B173" i="1"/>
  <c r="B174" i="1"/>
  <c r="B182" i="1"/>
  <c r="B188" i="1"/>
  <c r="B194" i="1"/>
  <c r="B197" i="1"/>
  <c r="B198" i="1"/>
  <c r="B199" i="1"/>
  <c r="B200" i="1"/>
  <c r="B204" i="1"/>
  <c r="B209" i="1"/>
  <c r="B215" i="1"/>
  <c r="B216" i="1"/>
  <c r="B217" i="1"/>
  <c r="B218" i="1"/>
  <c r="B219" i="1"/>
  <c r="B220" i="1"/>
  <c r="B221" i="1"/>
  <c r="B227" i="1"/>
  <c r="B228" i="1"/>
  <c r="B229" i="1"/>
  <c r="B230" i="1"/>
  <c r="B231" i="1"/>
  <c r="B234" i="1"/>
  <c r="B244" i="1"/>
  <c r="B247" i="1"/>
  <c r="B248" i="1"/>
  <c r="B249" i="1"/>
  <c r="B250" i="1"/>
  <c r="B253" i="1"/>
  <c r="B254" i="1"/>
  <c r="B259" i="1"/>
  <c r="B260" i="1"/>
  <c r="B263" i="1"/>
  <c r="B264" i="1"/>
  <c r="B265" i="1"/>
  <c r="B266" i="1"/>
  <c r="B267" i="1"/>
  <c r="B273" i="1"/>
  <c r="B279" i="1"/>
  <c r="B282" i="1"/>
  <c r="B285" i="1"/>
  <c r="B288" i="1"/>
  <c r="B289" i="1"/>
  <c r="B290" i="1"/>
  <c r="B291" i="1"/>
  <c r="B292" i="1"/>
  <c r="B300" i="1"/>
  <c r="B308" i="1"/>
  <c r="B313" i="1"/>
  <c r="B319" i="1"/>
  <c r="B326" i="1"/>
  <c r="B332" i="1"/>
  <c r="B333" i="1"/>
  <c r="B339" i="1"/>
  <c r="B342" i="1"/>
  <c r="B352" i="1"/>
  <c r="B355" i="1"/>
  <c r="B362" i="1"/>
  <c r="B363" i="1"/>
  <c r="B364" i="1"/>
  <c r="B365" i="1"/>
  <c r="B371" i="1"/>
  <c r="B372" i="1"/>
  <c r="B373" i="1"/>
  <c r="B380" i="1"/>
  <c r="B384" i="1"/>
  <c r="B385" i="1"/>
  <c r="B389" i="1"/>
  <c r="B390" i="1"/>
  <c r="B391" i="1"/>
  <c r="B399" i="1"/>
  <c r="B406" i="1"/>
  <c r="B407" i="1"/>
  <c r="B416" i="1"/>
  <c r="B417" i="1"/>
  <c r="B418" i="1"/>
  <c r="B422" i="1"/>
  <c r="B426" i="1"/>
  <c r="B433" i="1"/>
  <c r="B434" i="1"/>
  <c r="B447" i="1"/>
  <c r="B455" i="1"/>
  <c r="B456" i="1"/>
  <c r="B461" i="1"/>
  <c r="B462" i="1"/>
  <c r="B465" i="1"/>
  <c r="B466" i="1"/>
  <c r="B467" i="1"/>
  <c r="B470" i="1"/>
  <c r="B471" i="1"/>
  <c r="B472" i="1"/>
  <c r="B475" i="1"/>
  <c r="B476" i="1"/>
  <c r="B477" i="1"/>
  <c r="B478" i="1"/>
  <c r="B484" i="1"/>
  <c r="B490" i="1"/>
  <c r="B498" i="1"/>
  <c r="B499" i="1"/>
  <c r="B507" i="1"/>
  <c r="B516" i="1"/>
  <c r="B517" i="1"/>
  <c r="B525" i="1"/>
  <c r="B526" i="1"/>
  <c r="B534" i="1"/>
  <c r="B538" i="1"/>
  <c r="B549" i="1"/>
  <c r="B550" i="1"/>
  <c r="B551" i="1"/>
  <c r="B554" i="1"/>
  <c r="B555" i="1"/>
  <c r="B556" i="1"/>
  <c r="B557" i="1"/>
  <c r="B566" i="1"/>
  <c r="B570" i="1"/>
  <c r="B576" i="1"/>
  <c r="B582" i="1"/>
  <c r="B583" i="1"/>
  <c r="B589" i="1"/>
  <c r="B592" i="1"/>
  <c r="B593" i="1"/>
  <c r="B596" i="1"/>
  <c r="B604" i="1"/>
  <c r="B605" i="1"/>
  <c r="B606" i="1"/>
  <c r="B614" i="1"/>
  <c r="B622" i="1"/>
  <c r="B623" i="1"/>
  <c r="B626" i="1"/>
  <c r="B627" i="1"/>
  <c r="B628" i="1"/>
  <c r="B629" i="1"/>
  <c r="B630" i="1"/>
  <c r="B633" i="1"/>
  <c r="B634" i="1"/>
  <c r="B635" i="1"/>
  <c r="B643" i="1"/>
  <c r="B650" i="1"/>
  <c r="B663" i="1"/>
  <c r="B664" i="1"/>
  <c r="B665" i="1"/>
  <c r="B666" i="1"/>
  <c r="B671" i="1"/>
  <c r="B675" i="1"/>
  <c r="B676" i="1"/>
  <c r="B677" i="1"/>
  <c r="B683" i="1"/>
  <c r="B684" i="1"/>
  <c r="B688" i="1"/>
  <c r="B693" i="1"/>
  <c r="B694" i="1"/>
  <c r="B697" i="1"/>
  <c r="B698" i="1"/>
  <c r="B699" i="1"/>
  <c r="B705" i="1"/>
  <c r="B709" i="1"/>
  <c r="B716" i="1"/>
  <c r="B717" i="1"/>
  <c r="B723" i="1"/>
  <c r="B724" i="1"/>
  <c r="B730" i="1"/>
  <c r="B741" i="1"/>
  <c r="B744" i="1"/>
  <c r="B747" i="1"/>
  <c r="B748" i="1"/>
  <c r="B756" i="1"/>
  <c r="B757" i="1"/>
  <c r="B763" i="1"/>
  <c r="B764" i="1"/>
  <c r="B769" i="1"/>
  <c r="B770" i="1"/>
  <c r="B773" i="1"/>
  <c r="B774" i="1"/>
  <c r="B775" i="1"/>
  <c r="B776" i="1"/>
  <c r="B779" i="1"/>
  <c r="B780" i="1"/>
  <c r="B781" i="1"/>
  <c r="B782" i="1"/>
  <c r="B783" i="1"/>
  <c r="B786" i="1"/>
  <c r="B787" i="1"/>
  <c r="B788" i="1"/>
  <c r="B789" i="1"/>
  <c r="B790" i="1"/>
  <c r="B800" i="1"/>
  <c r="B805" i="1"/>
  <c r="B806" i="1"/>
  <c r="B809" i="1"/>
  <c r="B810" i="1"/>
  <c r="B811" i="1"/>
  <c r="B814" i="1"/>
  <c r="B815" i="1"/>
  <c r="B816" i="1"/>
  <c r="B817" i="1"/>
  <c r="B820" i="1"/>
  <c r="B833" i="1"/>
  <c r="B839" i="1"/>
  <c r="B849" i="1"/>
  <c r="B861" i="1"/>
  <c r="B862" i="1"/>
  <c r="B866" i="1"/>
  <c r="B867" i="1"/>
  <c r="B868" i="1"/>
  <c r="B874" i="1"/>
  <c r="B887" i="1"/>
  <c r="B890" i="1"/>
  <c r="B893" i="1"/>
  <c r="B896" i="1"/>
  <c r="B906" i="1"/>
  <c r="B914" i="1"/>
  <c r="B915" i="1"/>
  <c r="B916" i="1"/>
  <c r="B917" i="1"/>
  <c r="B918" i="1"/>
  <c r="B925" i="1"/>
  <c r="B931" i="1"/>
  <c r="B933" i="1"/>
  <c r="B943" i="1"/>
  <c r="B946" i="1"/>
  <c r="B949" i="1"/>
  <c r="B955" i="1"/>
  <c r="B956" i="1"/>
  <c r="B959" i="1"/>
  <c r="B960" i="1"/>
  <c r="B961" i="1"/>
  <c r="B964" i="1"/>
  <c r="B965" i="1"/>
  <c r="B966" i="1"/>
  <c r="B971" i="1"/>
  <c r="B972" i="1"/>
  <c r="B977" i="1"/>
  <c r="B978" i="1"/>
  <c r="B981" i="1"/>
  <c r="B982" i="1"/>
  <c r="B985" i="1"/>
  <c r="B999" i="1"/>
  <c r="B1002" i="1"/>
  <c r="B1003" i="1"/>
  <c r="B1004" i="1"/>
  <c r="B1007" i="1"/>
  <c r="B1008" i="1"/>
  <c r="B1011" i="1"/>
  <c r="B1014" i="1"/>
  <c r="B1017" i="1"/>
  <c r="B1020" i="1"/>
  <c r="B1026" i="1"/>
  <c r="B1027" i="1"/>
  <c r="B1028" i="1"/>
  <c r="B1029" i="1"/>
  <c r="B1030" i="1"/>
  <c r="B1031" i="1"/>
  <c r="B1044" i="1"/>
  <c r="B1045" i="1"/>
  <c r="B1046" i="1"/>
  <c r="B1047" i="1"/>
  <c r="B1048" i="1"/>
  <c r="B1052" i="1"/>
  <c r="B1053" i="1"/>
  <c r="B1054" i="1"/>
  <c r="B1060" i="1"/>
  <c r="B1061" i="1"/>
  <c r="B1066" i="1"/>
  <c r="B1067" i="1"/>
  <c r="B1080" i="1"/>
  <c r="B1081" i="1"/>
  <c r="B1082" i="1"/>
  <c r="B1083" i="1"/>
  <c r="A1085" i="1"/>
  <c r="B1086" i="1"/>
  <c r="A1088" i="1"/>
  <c r="B1089" i="1"/>
  <c r="B1092" i="1"/>
  <c r="B1095" i="1"/>
  <c r="B1098" i="1"/>
  <c r="B1099" i="1"/>
  <c r="B1100" i="1"/>
  <c r="B1103" i="1"/>
  <c r="B1104" i="1"/>
  <c r="B1105" i="1"/>
  <c r="B1108" i="1"/>
  <c r="B1109" i="1"/>
  <c r="B1110" i="1"/>
  <c r="B1113" i="1"/>
  <c r="B1114" i="1"/>
  <c r="B1115" i="1"/>
  <c r="B1118" i="1"/>
  <c r="B1119" i="1"/>
  <c r="B1120" i="1"/>
  <c r="B1123" i="1"/>
  <c r="B1124" i="1"/>
  <c r="B1125" i="1"/>
  <c r="B1128" i="1"/>
  <c r="A1130" i="1"/>
  <c r="B1131" i="1"/>
  <c r="B1132" i="1"/>
</calcChain>
</file>

<file path=xl/sharedStrings.xml><?xml version="1.0" encoding="utf-8"?>
<sst xmlns="http://schemas.openxmlformats.org/spreadsheetml/2006/main" count="1055" uniqueCount="760">
  <si>
    <t>Excel Value</t>
  </si>
  <si>
    <t>Computed Value</t>
  </si>
  <si>
    <t>Description</t>
  </si>
  <si>
    <t>Abs</t>
  </si>
  <si>
    <t>Absolute Value</t>
  </si>
  <si>
    <t>Absolute value of 2 (2)</t>
  </si>
  <si>
    <t>Absolute value of -2 (2)</t>
  </si>
  <si>
    <t>Absolute value of -4 (4)</t>
  </si>
  <si>
    <t>Acos</t>
  </si>
  <si>
    <t>Inverse Cosine</t>
  </si>
  <si>
    <t>Arccosine of -0.5 in radians, 2*pi/3 (2.094395)</t>
  </si>
  <si>
    <t>Arccosine of -0.5 in degrees (120)</t>
  </si>
  <si>
    <t>Acosh</t>
  </si>
  <si>
    <t>Inverse Hyperbolic Cosine</t>
  </si>
  <si>
    <t>Inverse hyperbolic cosine of 1 (0)</t>
  </si>
  <si>
    <t>Inverse hyperbolic cosine of 10 (2.993223)</t>
  </si>
  <si>
    <t>And</t>
  </si>
  <si>
    <t>Logical And</t>
  </si>
  <si>
    <t>All arguments are TRUE (TRUE)</t>
  </si>
  <si>
    <t>One argument is FALSE (FALSE)</t>
  </si>
  <si>
    <t>All arguments evaluate to TRUE (TRUE)</t>
  </si>
  <si>
    <t>Because 50 is between 1 and 100 (TRUE)</t>
  </si>
  <si>
    <t>The value is out of range.</t>
  </si>
  <si>
    <t>Displays the second number above, if it is between 1 and 100, otherwise displays a message (The value is out of range.)</t>
  </si>
  <si>
    <t>Displays the first number above, if it is between 1 and 100, otherwise displays a message (50)</t>
  </si>
  <si>
    <t>Asin</t>
  </si>
  <si>
    <t>Inverse Sine</t>
  </si>
  <si>
    <t>Arcsine of -0.5 in radians, -pi/6 (-0.5236)</t>
  </si>
  <si>
    <t>Arcsine of -0.5 in degrees (-30)</t>
  </si>
  <si>
    <t>Asinh</t>
  </si>
  <si>
    <t>Inverse Hyperbolic Sine</t>
  </si>
  <si>
    <t>Inverse hyperbolic sine of -2.5 (-1.64723)</t>
  </si>
  <si>
    <t>Inverse hyperbolic sine of 10 (2.998223)</t>
  </si>
  <si>
    <t>Atan</t>
  </si>
  <si>
    <t>Inverse Tangent</t>
  </si>
  <si>
    <t>Arctangent of 1 in radians, pi/4 (0.785398)</t>
  </si>
  <si>
    <t>Arctangent of 1 in degrees (45)</t>
  </si>
  <si>
    <t>Atan2</t>
  </si>
  <si>
    <t>Arctangent of the point 1,1 in radians, pi/4 (0.785398)</t>
  </si>
  <si>
    <t>Arctangent of the point -1,-1 in radians, -3*pi/4 (-2.35619)</t>
  </si>
  <si>
    <t>Arctangent of the point 1,1 in degrees (-135)</t>
  </si>
  <si>
    <t>Atanh</t>
  </si>
  <si>
    <t>Inverse Hyperbolic Tangent</t>
  </si>
  <si>
    <t>Inverse hyperbolic tangent of 0.76159416 (1, approximately)</t>
  </si>
  <si>
    <t>Inverse hyperbolic tangent of -0.1 (-0.10034)</t>
  </si>
  <si>
    <t>Avedev</t>
  </si>
  <si>
    <t>Average Deviation</t>
  </si>
  <si>
    <t>Average of the absolute deviations of the numbers above from their mean (1.020408)</t>
  </si>
  <si>
    <t>Average</t>
  </si>
  <si>
    <t>Average of the numbers above (11)</t>
  </si>
  <si>
    <t>Average of the numbers above and 5 (10)</t>
  </si>
  <si>
    <t>Averagea</t>
  </si>
  <si>
    <t>Not available</t>
  </si>
  <si>
    <t>Average of the numbers above, and the text "Not Available". The cell with the text "Not available" is used in the calculation. (5.6)</t>
  </si>
  <si>
    <t>Average of the numbers above, and the empty cell. (7)</t>
  </si>
  <si>
    <t>Binomdist</t>
  </si>
  <si>
    <t>Binomial Destribution</t>
  </si>
  <si>
    <t>Number of successes in trials</t>
  </si>
  <si>
    <t>Number of independent trials</t>
  </si>
  <si>
    <t>Probability of success on each trial</t>
  </si>
  <si>
    <t>Probability of exactly 6 of 10 trials being successful (0.205078)</t>
  </si>
  <si>
    <t>Ceiling</t>
  </si>
  <si>
    <t>Rounds 2.5 up to nearest multiple of 1 (3)</t>
  </si>
  <si>
    <t>Rounds -2.5 up to nearest multiple of -2 (-4)</t>
  </si>
  <si>
    <t>Returns an error, because -2.5 and 2 have different signs (#NUM!)</t>
  </si>
  <si>
    <t>Rounds 1.5 up to the nearest multiple of 0.1 (1.5)</t>
  </si>
  <si>
    <t>Rounds 0.234 up to the nearest multiple of 0.01 (0.24)</t>
  </si>
  <si>
    <t>Chidist</t>
  </si>
  <si>
    <t>ChiSquared Distribution</t>
  </si>
  <si>
    <t>Value at which you want to evaluate the distribution</t>
  </si>
  <si>
    <t>Degrees of freedom</t>
  </si>
  <si>
    <t>One-tailed probability of the chi-squared distribution, for the above terms (0.050001)</t>
  </si>
  <si>
    <t>Chiinv</t>
  </si>
  <si>
    <t>Inverse of Chi-Squared Distribution</t>
  </si>
  <si>
    <t>Probability associated with the chi-squared distribution</t>
  </si>
  <si>
    <t>Inverse of the one-tailed probability of the chi-squared distribution (18.30703)</t>
  </si>
  <si>
    <t>Chitest</t>
  </si>
  <si>
    <t>Chi-Squared Distribution Test</t>
  </si>
  <si>
    <t>Agree</t>
  </si>
  <si>
    <t>Neutral</t>
  </si>
  <si>
    <t>Disagree</t>
  </si>
  <si>
    <t>x =CHITEST(A103:B105,A106:B108)</t>
  </si>
  <si>
    <t>The c2 statistic for the data above is 16.16957 with 2 degrees of freedom (0.000308)</t>
  </si>
  <si>
    <t xml:space="preserve">Combin </t>
  </si>
  <si>
    <t>Combination</t>
  </si>
  <si>
    <t>Possible two-person teams that can be formed from 8 candidates (28)</t>
  </si>
  <si>
    <t>Concatenate</t>
  </si>
  <si>
    <t>Concatenation</t>
  </si>
  <si>
    <t>brook trout</t>
  </si>
  <si>
    <t>species</t>
  </si>
  <si>
    <t>Stream population for brook trout species is 32per mile</t>
  </si>
  <si>
    <t>Concatenates a sentence from the data above (Stream population for brook trout species is 32 per mile)</t>
  </si>
  <si>
    <t>Confidence</t>
  </si>
  <si>
    <t>Significance level</t>
  </si>
  <si>
    <t>Standard deviation of the population</t>
  </si>
  <si>
    <t>Sample size</t>
  </si>
  <si>
    <t>Confidence interval for a population mean. In other words, the confidence interval for the underlying population mean for travel to work equals 30 ± 0.692951 minutes, or 29.3 to 30.7 minutes. (0.692951)</t>
  </si>
  <si>
    <t>Correl</t>
  </si>
  <si>
    <t>Correlation</t>
  </si>
  <si>
    <t>Correlation coefficient of the two data sets above (0.997054)</t>
  </si>
  <si>
    <t>Cos</t>
  </si>
  <si>
    <t>Cosine</t>
  </si>
  <si>
    <t>Cosine of 1.047 radians (0.500171)</t>
  </si>
  <si>
    <t>Cosine of 60 degrees (0.5)</t>
  </si>
  <si>
    <t>Cosh</t>
  </si>
  <si>
    <t>Hyperbolic Cosine</t>
  </si>
  <si>
    <t>Hyperbolic cosine of 4 (27.30823)</t>
  </si>
  <si>
    <t>Hyperbolic cosine of the base of the natural logarithm (7.610125)</t>
  </si>
  <si>
    <t>Count</t>
  </si>
  <si>
    <t>Sales</t>
  </si>
  <si>
    <t>Counts the number of cells that contain numbers in the list above (3)</t>
  </si>
  <si>
    <t>Counts the number of cells that contain numbers in the last 4 rows of the list (2)</t>
  </si>
  <si>
    <t>Counts the number of cells that contain numbers in the list, and the value 2 (4)</t>
  </si>
  <si>
    <t>Counta</t>
  </si>
  <si>
    <t>Counts the number of nonblank cells in the list above (6)</t>
  </si>
  <si>
    <t>Counts the number of nonblank cells in the last 4 rows of the list (4)</t>
  </si>
  <si>
    <t>Counts the number of nonblank cells in the list above and the value 2 (7)</t>
  </si>
  <si>
    <t>Counts the number of nonblank cells in the list above and the value "Two" (7)</t>
  </si>
  <si>
    <t>Countblank</t>
  </si>
  <si>
    <t>Count Blanks</t>
  </si>
  <si>
    <t>Counts empty cells in the range above. The formula returns empty text. (4)</t>
  </si>
  <si>
    <t>Countif</t>
  </si>
  <si>
    <t>Conditionally Count Values</t>
  </si>
  <si>
    <t>apples</t>
  </si>
  <si>
    <t>oranges</t>
  </si>
  <si>
    <t>peaches</t>
  </si>
  <si>
    <t>Number of cells with apples in the first column above (2)</t>
  </si>
  <si>
    <t>Number of cells with a value greater than 55 in the second column above (2)</t>
  </si>
  <si>
    <t>Covar</t>
  </si>
  <si>
    <t>Covariance</t>
  </si>
  <si>
    <t>Covariance, the average of the products of deviations for each data point pair above (5.2)</t>
  </si>
  <si>
    <t>Critbinom</t>
  </si>
  <si>
    <t>Critical Binomial Distribution Value</t>
  </si>
  <si>
    <t>Number of Bernoulli trials</t>
  </si>
  <si>
    <t>Probability of a success on each trial</t>
  </si>
  <si>
    <t>Criterion value</t>
  </si>
  <si>
    <t>Smallest value for which the cumulative binomial distribution is greater than or equal to a criterion value (4)</t>
  </si>
  <si>
    <t>Date</t>
  </si>
  <si>
    <t>Serial date for the date above, using the 1900 date system (1/1/2008 or 39448)</t>
  </si>
  <si>
    <t>DateValue</t>
  </si>
  <si>
    <t>Serial number of the text date, using the 1900 date system (39682)</t>
  </si>
  <si>
    <t>Serial number of the text date, using the 1900 date system (39501)</t>
  </si>
  <si>
    <t>Serial number of the text date, using the 1900 date system, and assuming the computer's built-in clock is set to 2008 (39634)</t>
  </si>
  <si>
    <t>Day</t>
  </si>
  <si>
    <t>Day of the date above (15)</t>
  </si>
  <si>
    <t>Days360</t>
  </si>
  <si>
    <t>Days on 360 calendar</t>
  </si>
  <si>
    <t>Number of days between the two dates above, based on a 360-day year (1)</t>
  </si>
  <si>
    <t>DB</t>
  </si>
  <si>
    <t>Declining Balance</t>
  </si>
  <si>
    <t>Initial cost</t>
  </si>
  <si>
    <t>Salvage value</t>
  </si>
  <si>
    <t>Lifetime in years</t>
  </si>
  <si>
    <t>Depreciation in first year, with only 7 months calculated (186,083.33)</t>
  </si>
  <si>
    <t>Depreciation in second year (259,639.42)</t>
  </si>
  <si>
    <t>Depreciation in third year (176,814.44)</t>
  </si>
  <si>
    <t>Depreciation in fourth year (120,410.64)</t>
  </si>
  <si>
    <t>Depreciation in fifth year (81,999.64)</t>
  </si>
  <si>
    <t>Depreciation in sixth year (55,841.76)</t>
  </si>
  <si>
    <t>Depreciation in seventh year, with only 5 months calculated (15,845.10)</t>
  </si>
  <si>
    <t>Ddb</t>
  </si>
  <si>
    <t>Double-declining Balance</t>
  </si>
  <si>
    <t>First day's depreciation. Microsoft Excel automatically assumes that factor is 2. (1.32)</t>
  </si>
  <si>
    <t>First month's depreciation (40.00)</t>
  </si>
  <si>
    <t>First year's depreciation (480.00)</t>
  </si>
  <si>
    <t>Second year's depreciation using a factor of 1.5 instead of the double-declining balance method (306.00)</t>
  </si>
  <si>
    <t>Tenth year's depreciation. Microsoft Excel automatically assumes that factor is 2 (22.12)</t>
  </si>
  <si>
    <t>Degrees</t>
  </si>
  <si>
    <t>Degrees of pi radians (180)</t>
  </si>
  <si>
    <t>Devsq</t>
  </si>
  <si>
    <t>Deviation Squared</t>
  </si>
  <si>
    <t>Sum of squares of deviations of data above from their sample mean (48)</t>
  </si>
  <si>
    <t>Even</t>
  </si>
  <si>
    <t>Rounds 1.5 up to the nearest even integer (2)</t>
  </si>
  <si>
    <t>Rounds 3 up to the nearest even integer (4)</t>
  </si>
  <si>
    <t>Rounds 2 up to the nearest even integer (2)</t>
  </si>
  <si>
    <t>Rounds -1 up to the nearest even integer (-2)</t>
  </si>
  <si>
    <t>Exp</t>
  </si>
  <si>
    <t>Exponential</t>
  </si>
  <si>
    <t>Approximate value of e (2.718282)</t>
  </si>
  <si>
    <t>Base of the natural logarithm e raised to the power of 2 (7.389056)</t>
  </si>
  <si>
    <t>Expondist</t>
  </si>
  <si>
    <t>Exponential Distribution</t>
  </si>
  <si>
    <t>Value of the function</t>
  </si>
  <si>
    <t>Parameter value</t>
  </si>
  <si>
    <t>Cumulative exponential distribution function (0.864665)</t>
  </si>
  <si>
    <t>Probability exponential distribution function (1.353353)</t>
  </si>
  <si>
    <t>Fact</t>
  </si>
  <si>
    <t>Factorial</t>
  </si>
  <si>
    <t>Factorial of 5, or 1*2*3*4*5 (120)</t>
  </si>
  <si>
    <t>Factorial of the integer of 1.9 (1)</t>
  </si>
  <si>
    <t>Factorial of 0 (1)</t>
  </si>
  <si>
    <t>Negative numbers cause an error value (#NUM!)</t>
  </si>
  <si>
    <t>Factorial of 1 (1)</t>
  </si>
  <si>
    <t>Fdist</t>
  </si>
  <si>
    <t>F Distribution</t>
  </si>
  <si>
    <t>Value at which to evaluate the function</t>
  </si>
  <si>
    <t>Numerator degrees of freedom</t>
  </si>
  <si>
    <t>Denominator degrees of freedom</t>
  </si>
  <si>
    <t>F probability distribution for the terms above (0.01)</t>
  </si>
  <si>
    <t>Finv</t>
  </si>
  <si>
    <t>Inverse F Distribution</t>
  </si>
  <si>
    <t>Probability associated with the F cumulative distribution</t>
  </si>
  <si>
    <t>Inverse of the F probability distribution for the terms above (15.20675)</t>
  </si>
  <si>
    <t>Fisher</t>
  </si>
  <si>
    <t>Fisher Transformation</t>
  </si>
  <si>
    <t>Fisher transformation at 0.75 (0.972955)</t>
  </si>
  <si>
    <t>Fisherinv</t>
  </si>
  <si>
    <t>Inverse Fisher Transfromation</t>
  </si>
  <si>
    <t>Inverse of the Fisher transformation at 0.972955 (0.75)</t>
  </si>
  <si>
    <t>Floor</t>
  </si>
  <si>
    <t>Rounds 2.5 down to nearest multiple of 1 (2)</t>
  </si>
  <si>
    <t>Rounds -2.5 down to nearest multiple of -2 (-2)</t>
  </si>
  <si>
    <t>Rounds 1.5 down to the nearest multiple of 0.1 (1.5)</t>
  </si>
  <si>
    <t>Rounds 0.234 down to the nearest multiple of 0.01 (0.23)</t>
  </si>
  <si>
    <t>Forecast</t>
  </si>
  <si>
    <t>Predicts a value for y given an x value of 30 (10.60725)</t>
  </si>
  <si>
    <t>Fv</t>
  </si>
  <si>
    <t>Future Value</t>
  </si>
  <si>
    <t>Annual interest rate</t>
  </si>
  <si>
    <t>Number of payments</t>
  </si>
  <si>
    <t>Amount of the payment</t>
  </si>
  <si>
    <t>Present value</t>
  </si>
  <si>
    <t>Payment is due at the beginning of the period (see above)</t>
  </si>
  <si>
    <t>Future value of an investment with the above terms (2581.40)</t>
  </si>
  <si>
    <t>Future value of an investment with the above terms (12,682.50)</t>
  </si>
  <si>
    <t>Payment is due at the beginning of the year (see above)</t>
  </si>
  <si>
    <t>Future value of an investment with the above terms (82,846.25)</t>
  </si>
  <si>
    <t>Future value of an investment with the above terms (2301.40)</t>
  </si>
  <si>
    <t>Gammadist</t>
  </si>
  <si>
    <t>Gamma Distribution</t>
  </si>
  <si>
    <t>Alpha parameter to the distribution</t>
  </si>
  <si>
    <t>Beta parameter to the distribution</t>
  </si>
  <si>
    <t>Probability gamma distribution with the terms above (0.032639)</t>
  </si>
  <si>
    <t>Cumulative gamma distribution with the terms above (0.068094)</t>
  </si>
  <si>
    <t>Gammainv</t>
  </si>
  <si>
    <t>Inverse Gamma</t>
  </si>
  <si>
    <t>Probability associated with the gamma distribution</t>
  </si>
  <si>
    <t>Inverse of the gamma cumulative distribution for the above terms (10)</t>
  </si>
  <si>
    <t>Gammaln</t>
  </si>
  <si>
    <t>Natural Logarithm of the Gamma function</t>
  </si>
  <si>
    <t>Natural logarithm of the gamma function at 4 (1.791759)</t>
  </si>
  <si>
    <t>Geomean</t>
  </si>
  <si>
    <t>Geometric Mean</t>
  </si>
  <si>
    <t>Geometric mean of the data set above (5.476987)</t>
  </si>
  <si>
    <t>Harmean</t>
  </si>
  <si>
    <t>Harmonic Mean</t>
  </si>
  <si>
    <t>Harmonic mean of the data set above (5.028376)</t>
  </si>
  <si>
    <t>Hlookup</t>
  </si>
  <si>
    <t>Row Lookups</t>
  </si>
  <si>
    <t>Axles</t>
  </si>
  <si>
    <t>Bearings</t>
  </si>
  <si>
    <t>Bolts</t>
  </si>
  <si>
    <t>Looks up Axles in row 1, and returns the value from row 2 that's in the same column. (4)</t>
  </si>
  <si>
    <t>Looks up Bearings in row 1, and returns the value from row 3 that's in the same column. (7)</t>
  </si>
  <si>
    <t>Looks up B in row 1, and returns the value from row 3 that's in the same column. Because B is not an exact match, the next largest value that is less than B is used: Axles. (5)</t>
  </si>
  <si>
    <t>Looks up Bolts in row 1, and returns the value from row 4 that's in the same column. (11)</t>
  </si>
  <si>
    <t>Hour</t>
  </si>
  <si>
    <t>Hour of first time (3)</t>
  </si>
  <si>
    <t>Hour of second time (15)</t>
  </si>
  <si>
    <t>Hour of third time (15)</t>
  </si>
  <si>
    <t>Hypgeomdist</t>
  </si>
  <si>
    <t>Hypergeometric Distribution</t>
  </si>
  <si>
    <t>Number of successes in the sample</t>
  </si>
  <si>
    <t>Number of successes in the population</t>
  </si>
  <si>
    <t>Population size</t>
  </si>
  <si>
    <t>Hypergeometric distribution for sample and population above (0.363261)</t>
  </si>
  <si>
    <t xml:space="preserve">If </t>
  </si>
  <si>
    <t>if statement</t>
  </si>
  <si>
    <t>Within budget</t>
  </si>
  <si>
    <t>If the number above is less than or equal to 100, then the formula displays "Within budget". Otherwise, the function displays "Over budget" (Within budget)</t>
  </si>
  <si>
    <t>If the number above is 100, then the range B5:B15 is calculated. Otherwise, empty text ("") is returned ()</t>
  </si>
  <si>
    <t>Int</t>
  </si>
  <si>
    <t>Integer</t>
  </si>
  <si>
    <t>Rounds 8.9 down (8)</t>
  </si>
  <si>
    <t>Rounds -8.9 down (-9)</t>
  </si>
  <si>
    <t>Returns the decimal part of a positive real number in cell A2 (0.5)</t>
  </si>
  <si>
    <t>Intercept</t>
  </si>
  <si>
    <t>Point at which a line will intersect the y-axis by using the x-values and y-values above (0.0483871)</t>
  </si>
  <si>
    <t>Ipmt</t>
  </si>
  <si>
    <t>Interest Payment</t>
  </si>
  <si>
    <t>Annual interest</t>
  </si>
  <si>
    <t>Period for which you want to find the interest</t>
  </si>
  <si>
    <t>Years of loan</t>
  </si>
  <si>
    <t>Present value of loan</t>
  </si>
  <si>
    <t>Interest due in the first month for a loan with the terms above (-22.41)</t>
  </si>
  <si>
    <t>Interest due in the last year for a loan with the terms above, where payments are made yearly (-292.45)</t>
  </si>
  <si>
    <t>Irr</t>
  </si>
  <si>
    <t>Internal Rate of Return</t>
  </si>
  <si>
    <t>Initial cost of a business</t>
  </si>
  <si>
    <t>Net income for the first year</t>
  </si>
  <si>
    <t>Net income for the second year</t>
  </si>
  <si>
    <t>Net income for the third year</t>
  </si>
  <si>
    <t>Net income for the fourth year</t>
  </si>
  <si>
    <t>Net income for the fifth year</t>
  </si>
  <si>
    <t>Investment's internal rate of return after four years (-2%)</t>
  </si>
  <si>
    <t>Internal rate of return after five years (9%)</t>
  </si>
  <si>
    <t>To calculate the internal rate of return after two years, you need to include a guess (-44%)</t>
  </si>
  <si>
    <t>Iserror</t>
  </si>
  <si>
    <t>IsError</t>
  </si>
  <si>
    <t>Checks whether #REF! is an error (TRUE)</t>
  </si>
  <si>
    <t>Isnumber</t>
  </si>
  <si>
    <t>IsNumber</t>
  </si>
  <si>
    <t>Checks whether 330.92 is a number (TRUE)</t>
  </si>
  <si>
    <t>Ispmt</t>
  </si>
  <si>
    <t>Interest Paid</t>
  </si>
  <si>
    <t>Period</t>
  </si>
  <si>
    <t>Number of years in the investment</t>
  </si>
  <si>
    <t>Amount of loan</t>
  </si>
  <si>
    <t>Interest paid for the first monthly payment of a loan with the above terms (-64814.8)</t>
  </si>
  <si>
    <t>Interest paid in the first year of a loan with the above terms (-533333)</t>
  </si>
  <si>
    <t>Kurt</t>
  </si>
  <si>
    <t>Kurtosis</t>
  </si>
  <si>
    <t>Kurtosis of the data set above (-0.1518)</t>
  </si>
  <si>
    <t>Large</t>
  </si>
  <si>
    <t>3rd largest number in the numbers above (5)</t>
  </si>
  <si>
    <t>7th largest number in the numbers above (4)</t>
  </si>
  <si>
    <t>Left</t>
  </si>
  <si>
    <t>Sale Price</t>
  </si>
  <si>
    <t>Sweden</t>
  </si>
  <si>
    <t>Sale</t>
  </si>
  <si>
    <t>First four characters in the first string (Sale)</t>
  </si>
  <si>
    <t>S</t>
  </si>
  <si>
    <t>First character in the second string (S)</t>
  </si>
  <si>
    <t>Ln</t>
  </si>
  <si>
    <t>Natural Logarithm</t>
  </si>
  <si>
    <t>Natural logarithm of 86 (4.454347)</t>
  </si>
  <si>
    <t>Natural logarithm of the value of the constant e (1)</t>
  </si>
  <si>
    <t>Natural logarithm of e raised to the power of 3 (3)</t>
  </si>
  <si>
    <t>Log</t>
  </si>
  <si>
    <t>Logarithm to a base</t>
  </si>
  <si>
    <t>Logarithm of 10 (1)</t>
  </si>
  <si>
    <t>Logarithm of 8 with base 2 (3)</t>
  </si>
  <si>
    <t>Logarithm of 86 with base e (4.454347)</t>
  </si>
  <si>
    <t>Log10</t>
  </si>
  <si>
    <t>Logarithm base 10</t>
  </si>
  <si>
    <t>Base-10 logarithm of 86 (1.934498451)</t>
  </si>
  <si>
    <t>Base-10 logarithm of 10 (1)</t>
  </si>
  <si>
    <t>Base-10 logarithm of 1E5 (5)</t>
  </si>
  <si>
    <t>Base-10 logarithm of 10^5 (5)</t>
  </si>
  <si>
    <t>Loginv</t>
  </si>
  <si>
    <t>Inverse of Log Normal Distribution</t>
  </si>
  <si>
    <t>Probability associated with the lognormal distribution</t>
  </si>
  <si>
    <t>Mean of ln(x)</t>
  </si>
  <si>
    <t>Standard deviation of ln(x)</t>
  </si>
  <si>
    <t>Inverse of the lognormal cumulative distribution function for the terms above (4.000014)</t>
  </si>
  <si>
    <t>Lognormdist</t>
  </si>
  <si>
    <t>Log Normal Distribution</t>
  </si>
  <si>
    <t>Value at which to evaluate the function (x)</t>
  </si>
  <si>
    <t>Cumulative lognormal distribution at 4 with the terms above (0.039084)</t>
  </si>
  <si>
    <t>Max</t>
  </si>
  <si>
    <t>Maximum</t>
  </si>
  <si>
    <t>Largest of the numbers above (27)</t>
  </si>
  <si>
    <t>Largest of the numbers above and 30 (30)</t>
  </si>
  <si>
    <t>Maxa</t>
  </si>
  <si>
    <t>Maximun</t>
  </si>
  <si>
    <t>Largest of the numbers above. TRUE evaluates to 1 (1)</t>
  </si>
  <si>
    <t>Median</t>
  </si>
  <si>
    <t>Median of the first 5 numbers in the list above (3)</t>
  </si>
  <si>
    <t>Median of all the numbers above, or the average of 3 and 4 (3.5)</t>
  </si>
  <si>
    <t>Min</t>
  </si>
  <si>
    <t>Minimum</t>
  </si>
  <si>
    <t>Smallest of the numbers above (2)</t>
  </si>
  <si>
    <t>Smallest of the numbers above and 0 (0)</t>
  </si>
  <si>
    <t>Mina</t>
  </si>
  <si>
    <t>Smallest of the numbers above. FALSE evaluates to 0 (0)</t>
  </si>
  <si>
    <t>Minute</t>
  </si>
  <si>
    <t>Minutes of the time above (48)</t>
  </si>
  <si>
    <t>Mirr</t>
  </si>
  <si>
    <t>Return first year</t>
  </si>
  <si>
    <t>Return second year</t>
  </si>
  <si>
    <t>Return third year</t>
  </si>
  <si>
    <t>Return fourth year</t>
  </si>
  <si>
    <t>Return fifth year</t>
  </si>
  <si>
    <t>Annual interest rate for the 120,000 loan</t>
  </si>
  <si>
    <t>Annual interest rate for the reinvested profits</t>
  </si>
  <si>
    <t>Investment's modified rate of return after five years (13%)</t>
  </si>
  <si>
    <t>Modified rate of return after three years (-5%)</t>
  </si>
  <si>
    <t>Five-year modified rate of return based on a reinvest_rate of 14 percent (13%)</t>
  </si>
  <si>
    <t>Mod</t>
  </si>
  <si>
    <t>Modulo</t>
  </si>
  <si>
    <t>Remainder of 3/2 (1)</t>
  </si>
  <si>
    <t>Remainder of -3/2. The sign is the same as divisor (1)</t>
  </si>
  <si>
    <t>Remainder of 3/-2. The sign is the same as divisor (-1)</t>
  </si>
  <si>
    <t>Remainder of -3/-2. The sign is the same as divisor (-1)</t>
  </si>
  <si>
    <t>Mode</t>
  </si>
  <si>
    <t>Most Frequent</t>
  </si>
  <si>
    <t>Mode, or most frequently occurring number above (4)</t>
  </si>
  <si>
    <t>Month</t>
  </si>
  <si>
    <t>Month of the date above (4)</t>
  </si>
  <si>
    <t>Negbinomdist</t>
  </si>
  <si>
    <t>Negative Binomial Distribution</t>
  </si>
  <si>
    <t>Number of failures</t>
  </si>
  <si>
    <t>Threshold number of successes</t>
  </si>
  <si>
    <t>Probability of a success</t>
  </si>
  <si>
    <t>Negative binomial distribution for the terms above (0.055049)</t>
  </si>
  <si>
    <t>Normdist</t>
  </si>
  <si>
    <t>Normal Distribution</t>
  </si>
  <si>
    <t>Value for which you want the distribution</t>
  </si>
  <si>
    <t>Arithmetic mean of the distribution</t>
  </si>
  <si>
    <t>Standard deviation of the distribution</t>
  </si>
  <si>
    <t>Cumulative distribution function for the terms above (0.908789)</t>
  </si>
  <si>
    <t>Probability mass function for the terms above (0.10934005)</t>
  </si>
  <si>
    <t>Norminv</t>
  </si>
  <si>
    <t>Inverse Normal Distribution</t>
  </si>
  <si>
    <t>Probability corresponding to the normal distribution</t>
  </si>
  <si>
    <t>Inverse of the normal cumulative distribution for the terms above (42)</t>
  </si>
  <si>
    <t>Not</t>
  </si>
  <si>
    <t>Reverses FALSE (TRUE)</t>
  </si>
  <si>
    <t>Reverses an equation that evaluates to TRUE (FALSE)</t>
  </si>
  <si>
    <t>Now</t>
  </si>
  <si>
    <t>Current date and time (will differ every calculation)</t>
  </si>
  <si>
    <t>Nper</t>
  </si>
  <si>
    <t>Number of periods</t>
  </si>
  <si>
    <t>Payment made each period</t>
  </si>
  <si>
    <t>Future value</t>
  </si>
  <si>
    <t>Periods for the investment with the above terms (60)</t>
  </si>
  <si>
    <t>Periods for the investment with the above terms, except payments are made at the beginning of the period (60)</t>
  </si>
  <si>
    <t>Periods for the investment with the above terms, except with a future value of 0 (-9.578)</t>
  </si>
  <si>
    <t>Npv</t>
  </si>
  <si>
    <t>Net Present Value</t>
  </si>
  <si>
    <t>Annual discount rate</t>
  </si>
  <si>
    <t>Initial cost of investment one year from today</t>
  </si>
  <si>
    <t>Return from first year</t>
  </si>
  <si>
    <t>Return from second year</t>
  </si>
  <si>
    <t>Return from third year</t>
  </si>
  <si>
    <t>Net present value of this investment (1,188.44)</t>
  </si>
  <si>
    <t>Annual discount rate. This might represent the rate of inflation or the interest rate of a competing investment.</t>
  </si>
  <si>
    <t>Initial cost of investment</t>
  </si>
  <si>
    <t>Return from fourth year</t>
  </si>
  <si>
    <t>Return from fifth year</t>
  </si>
  <si>
    <t>Net present value of this investment (1,922.06)</t>
  </si>
  <si>
    <t>Net present value of this investment, with a loss in the sixth year of 9000 (-3,749.47)</t>
  </si>
  <si>
    <t>Odd</t>
  </si>
  <si>
    <t>Odd Integer</t>
  </si>
  <si>
    <t>Rounds 1.5 up to the nearest odd integer (3)</t>
  </si>
  <si>
    <t>Rounds 3 up to the nearest odd integer (3)</t>
  </si>
  <si>
    <t>Rounds 2 up to the nearest odd integer (3)</t>
  </si>
  <si>
    <t>Rounds -1 up to the nearest odd integer (-1)</t>
  </si>
  <si>
    <t>Rounds -2 up to the nearest odd integer (-3)</t>
  </si>
  <si>
    <t>Or</t>
  </si>
  <si>
    <t>One argument is TRUE (TRUE)</t>
  </si>
  <si>
    <t>All arguments evaluate to FALSE (FALSE)</t>
  </si>
  <si>
    <t>At least one argument is TRUE (TRUE)</t>
  </si>
  <si>
    <t>Pearson</t>
  </si>
  <si>
    <t>Pearson Product correlation coefficient</t>
  </si>
  <si>
    <t>Pearson product moment correlation coefficient for the data sets above (0.699379)</t>
  </si>
  <si>
    <t>Percentile</t>
  </si>
  <si>
    <t>30th percentile of the list above (1.9)</t>
  </si>
  <si>
    <t>Percentrank</t>
  </si>
  <si>
    <t>Percent Rank</t>
  </si>
  <si>
    <t>Percent rank of 2 in the list above (0.333, because 3 values in the set are smaller than 2, and 6 are larger than 2; 3/(3+6)=0.333)</t>
  </si>
  <si>
    <t>Percent rank of 4 in the list above (0.555)</t>
  </si>
  <si>
    <t>Percent rank of 8 in the list above (0.666)</t>
  </si>
  <si>
    <t>Percent rank of 5 in the list above (0.583, one-quarter of the way between the PERCENTRANK of 4 and the PERCENTRANK of 8)</t>
  </si>
  <si>
    <t>Permut</t>
  </si>
  <si>
    <t>Permutations</t>
  </si>
  <si>
    <t>Number of objects</t>
  </si>
  <si>
    <t>Number of objects in each permutation</t>
  </si>
  <si>
    <t>Permutations possible for the terms above (970200)</t>
  </si>
  <si>
    <t>Pi</t>
  </si>
  <si>
    <t>Pi (3.14159265358979)</t>
  </si>
  <si>
    <t>Pi/2 (1.570796327)</t>
  </si>
  <si>
    <t>Area of a circle, with the radius above (28.27433388)</t>
  </si>
  <si>
    <t>Pmt</t>
  </si>
  <si>
    <t>Payment</t>
  </si>
  <si>
    <t>Number of months of payments</t>
  </si>
  <si>
    <t>Monthly payment for a loan with the above terms (-1,037.03)</t>
  </si>
  <si>
    <t>Monthly payment for a loan with the above terms, except payments are due at the beginning of the period (-1,030.16)</t>
  </si>
  <si>
    <t>Years you plan on saving</t>
  </si>
  <si>
    <t>Amount you want to have save in 18 years</t>
  </si>
  <si>
    <t>Amount to save each month to have 50,000 at the end of 18 years (-129.08)</t>
  </si>
  <si>
    <t>Poisson</t>
  </si>
  <si>
    <t>Poisson Distribution</t>
  </si>
  <si>
    <t>Number of events</t>
  </si>
  <si>
    <t>Expected mean</t>
  </si>
  <si>
    <t>Cumulative Poisson probability with the terms above (0.124652)</t>
  </si>
  <si>
    <t>Poisson probability mass function with the terms above (0.084224)</t>
  </si>
  <si>
    <t>Power</t>
  </si>
  <si>
    <t>5 squared (25)</t>
  </si>
  <si>
    <t>98.6 raised to the power of 3.2 (2401077)</t>
  </si>
  <si>
    <t>4 raised to the power of 5/4 (5.656854)</t>
  </si>
  <si>
    <t>Ppmt</t>
  </si>
  <si>
    <t>Principal payment</t>
  </si>
  <si>
    <t>Number of years in the loan</t>
  </si>
  <si>
    <t>Payment on principle for the first month of loan (-75.62)</t>
  </si>
  <si>
    <t>Principal payment for the last year of the loan with the above terms (-27,598.05)</t>
  </si>
  <si>
    <t>Prob</t>
  </si>
  <si>
    <t>Probability</t>
  </si>
  <si>
    <t>Probability that x is 2 (0.1)</t>
  </si>
  <si>
    <t>Probability that x is between 1 and 3 (0.8)</t>
  </si>
  <si>
    <t>Product</t>
  </si>
  <si>
    <t>Multiplies the numbers above (2250)</t>
  </si>
  <si>
    <t>Multiplies the numbers above and 2 (4500)</t>
  </si>
  <si>
    <t>Pv</t>
  </si>
  <si>
    <t>Present Value</t>
  </si>
  <si>
    <t>Money paid out of an insurance annuity at the end of every month</t>
  </si>
  <si>
    <t>Interest rate earned on the money paid out</t>
  </si>
  <si>
    <t>Years the money will be paid out</t>
  </si>
  <si>
    <t>Present value of an annuity with the terms above (-59,777.15).</t>
  </si>
  <si>
    <t>Quartile</t>
  </si>
  <si>
    <t>First quartile (25th percentile) of the data above (3.5)</t>
  </si>
  <si>
    <t>Radians</t>
  </si>
  <si>
    <t>270 degrees as radians (4.712389 or 3π/2 radians)</t>
  </si>
  <si>
    <t>Rand</t>
  </si>
  <si>
    <t>Random Number</t>
  </si>
  <si>
    <t>A random number between 0 and 1 (varies)</t>
  </si>
  <si>
    <t>A random number equal to 0 but less than 100 (varies)</t>
  </si>
  <si>
    <t>Rank</t>
  </si>
  <si>
    <t>Rank of 3.5 in the list above (3)</t>
  </si>
  <si>
    <t>Rank of 7 in the list above (5)</t>
  </si>
  <si>
    <t>Rate</t>
  </si>
  <si>
    <t>Interest Rate</t>
  </si>
  <si>
    <t>Years of the loan</t>
  </si>
  <si>
    <t>Monthly payment</t>
  </si>
  <si>
    <t>Amount of the loan</t>
  </si>
  <si>
    <t>Monthly rate of the loan with the above terms (1%)</t>
  </si>
  <si>
    <t>Annual rate of the loan with the above terms (0.09241767 or 9.24%)</t>
  </si>
  <si>
    <t>Right</t>
  </si>
  <si>
    <t>Stock Number</t>
  </si>
  <si>
    <t>Price</t>
  </si>
  <si>
    <t>Last 5 characters of the first string (Price)</t>
  </si>
  <si>
    <t>r</t>
  </si>
  <si>
    <t>Last character of the second string (r)</t>
  </si>
  <si>
    <t>Round</t>
  </si>
  <si>
    <t>Rounds 2.15 to one decimal place (2.2)</t>
  </si>
  <si>
    <t>Rounds 2.149 to one decimal place (2.1)</t>
  </si>
  <si>
    <t>Rounds -1.475 to two decimal places (-1.48)</t>
  </si>
  <si>
    <t>Rounds 21.5 to one decimal place to the left of the decimal point (20)</t>
  </si>
  <si>
    <t>RoundDown</t>
  </si>
  <si>
    <t>Rounds 3.2 down to zero decimal places (3)</t>
  </si>
  <si>
    <t>Rounds 76.9 down to zero decimal places (76)</t>
  </si>
  <si>
    <t>Rounds 3.14159 down to three decimal places (3.141)</t>
  </si>
  <si>
    <t>Rounds -3.14159 down to one decimal place (-3.1)</t>
  </si>
  <si>
    <t>Rounds 31415.92654 down to 2 decimal places to the left of the decimal (31400)</t>
  </si>
  <si>
    <t>RoundUp</t>
  </si>
  <si>
    <t xml:space="preserve"> RoundUp</t>
  </si>
  <si>
    <t>Rounds 3.2 up to zero decimal places (4)</t>
  </si>
  <si>
    <t>Rounds 76.9 up to zero decimal places (77)</t>
  </si>
  <si>
    <t>Rounds 3.14159 up to three decimal places (3.142)</t>
  </si>
  <si>
    <t>Rounds -3.14159 up to one decimal place (-3.2)</t>
  </si>
  <si>
    <t>Rounds 31415.92654 up to 2 decimal places to the left of the decimal (31500)</t>
  </si>
  <si>
    <t>Rsq</t>
  </si>
  <si>
    <t>R Square</t>
  </si>
  <si>
    <t>Square of the Pearson product moment correlation coefficient through data points above (0.05795)</t>
  </si>
  <si>
    <t>Second</t>
  </si>
  <si>
    <t>Seconds in the first time (18)</t>
  </si>
  <si>
    <t>Seconds in the second time (0)</t>
  </si>
  <si>
    <t>Sign</t>
  </si>
  <si>
    <t>Sign of a positive number (1)</t>
  </si>
  <si>
    <t>Sign of zero (0)</t>
  </si>
  <si>
    <t>Sign of a negative number (-1)</t>
  </si>
  <si>
    <t>Sin</t>
  </si>
  <si>
    <t>Sine</t>
  </si>
  <si>
    <t>Sine of pi radians (0, approximately - comparison uses absolute error)</t>
  </si>
  <si>
    <t>Sine of pi/2 radians (1)</t>
  </si>
  <si>
    <t>Sine of 30 degrees (0.5)</t>
  </si>
  <si>
    <t>Sinh</t>
  </si>
  <si>
    <t>Hyperbolic Sine</t>
  </si>
  <si>
    <t>Probability of obtaining a result of less than 1.03 seconds (0.101049063)</t>
  </si>
  <si>
    <t>Skew</t>
  </si>
  <si>
    <t>Skewness</t>
  </si>
  <si>
    <t>Skewness of a distribution of the data set above (0.359543)</t>
  </si>
  <si>
    <t>Sln</t>
  </si>
  <si>
    <t>Straight-line depreciation</t>
  </si>
  <si>
    <t>Cost</t>
  </si>
  <si>
    <t>Years of useful life</t>
  </si>
  <si>
    <t>The depreciation allowance for each year (2,250)</t>
  </si>
  <si>
    <t>Slope</t>
  </si>
  <si>
    <t>Slope of the least squares fit line</t>
  </si>
  <si>
    <t>Slope of the linear regression line through the data points above (0.305556)</t>
  </si>
  <si>
    <t>Small</t>
  </si>
  <si>
    <t>kth smallest value</t>
  </si>
  <si>
    <t>4th smallest number in first column (4)</t>
  </si>
  <si>
    <t>2nd smallest number in the second column (3)</t>
  </si>
  <si>
    <t>Sqrt</t>
  </si>
  <si>
    <t>Square Root</t>
  </si>
  <si>
    <t>Square root of 16 (4)</t>
  </si>
  <si>
    <t>Square root of the number above. Because the number is negative, an error is returned (#NUM!)</t>
  </si>
  <si>
    <t>Square root of the absolute value of the number above (4)</t>
  </si>
  <si>
    <t>Standardize</t>
  </si>
  <si>
    <t>Value to normalize</t>
  </si>
  <si>
    <t>Normalized value of 42 for the terms above (1.333333)</t>
  </si>
  <si>
    <t>Stdev</t>
  </si>
  <si>
    <t>Sample Standard Deviation</t>
  </si>
  <si>
    <t>Standard deviation of breaking strength (27.46391572)</t>
  </si>
  <si>
    <t>Stdeva</t>
  </si>
  <si>
    <t>Standard deviation of breaking strength for all the tools (27.46391572)</t>
  </si>
  <si>
    <t>Stdevp</t>
  </si>
  <si>
    <t>Population Standard Deviation</t>
  </si>
  <si>
    <t>Standard deviation of breaking strength, assuming only 10 tools are produced (26.05455814)</t>
  </si>
  <si>
    <t>Stdevpa</t>
  </si>
  <si>
    <t>Steyx</t>
  </si>
  <si>
    <t>Standard Error</t>
  </si>
  <si>
    <t>Standard error of the predicted y-value for each x in the regression (3.305719)</t>
  </si>
  <si>
    <t>Sum</t>
  </si>
  <si>
    <t>Summation</t>
  </si>
  <si>
    <t>'5</t>
  </si>
  <si>
    <t>Adds 3 and 2 (5)</t>
  </si>
  <si>
    <t>Adds 5, 15 and 1, because the text values are translated into numbers, and the logical value TRUE is translated into the number 1 (21)</t>
  </si>
  <si>
    <t>Adds the first three numbers in the column above (40)</t>
  </si>
  <si>
    <t>Adds the first three numbers in the column above, and 15 (55)</t>
  </si>
  <si>
    <t>Adds the values in the last two rows above, and 2. Because nonnumeric values in references are not translated, the values in the column above are ignored (2)</t>
  </si>
  <si>
    <t>Sumif</t>
  </si>
  <si>
    <t>Conditional Summation</t>
  </si>
  <si>
    <t>Sum of the commissions for property values over 160000 (63,000)</t>
  </si>
  <si>
    <t>Sumproduct</t>
  </si>
  <si>
    <t>Sum of Products</t>
  </si>
  <si>
    <t>Multiplies all the components of the two arrays and then adds the products— that is, 3*2 + 4*7 + 8*6 + 6*7 + 1*5 + 9*3. (156)</t>
  </si>
  <si>
    <t>Sumsq</t>
  </si>
  <si>
    <t>Sum of the Squares</t>
  </si>
  <si>
    <t>Sum of the squares of 3 and 4 (25)</t>
  </si>
  <si>
    <t>Sumx2my2</t>
  </si>
  <si>
    <t>Sum of the differnces of squares</t>
  </si>
  <si>
    <t>Sum of the difference of squares of the two arrays above (-55)</t>
  </si>
  <si>
    <t>Sumx2py2</t>
  </si>
  <si>
    <t>Sum of the squares</t>
  </si>
  <si>
    <t>Sum of the sum of squares of the two arrays above (521)</t>
  </si>
  <si>
    <t>Sumxmy2</t>
  </si>
  <si>
    <t>Sums the squares of the differences</t>
  </si>
  <si>
    <t>Sum of squares of differences of the two arrays above (79)</t>
  </si>
  <si>
    <t>Syd</t>
  </si>
  <si>
    <t>Sum of years digits depreciation</t>
  </si>
  <si>
    <t>Lifespan in years</t>
  </si>
  <si>
    <t>Yearly depreciation allowance for the first year (4,090.91)</t>
  </si>
  <si>
    <t>Yearly depreciation allowance for the tenth year (409.09)</t>
  </si>
  <si>
    <t>Tan</t>
  </si>
  <si>
    <t>Tangent</t>
  </si>
  <si>
    <t>Tangent of 0.785 radians (0.99920)</t>
  </si>
  <si>
    <t>Tangent of 45 degrees (1)</t>
  </si>
  <si>
    <t>Tanh</t>
  </si>
  <si>
    <t>Hyperbolic Tangent</t>
  </si>
  <si>
    <t>Hyperbolic tangent of -2 (-0.96403)</t>
  </si>
  <si>
    <t>Hyperbolic tangent of 0 (0)</t>
  </si>
  <si>
    <t>Hyperbolic tangent of 0.5 (0.462117)</t>
  </si>
  <si>
    <t>Text</t>
  </si>
  <si>
    <t>Buchanan</t>
  </si>
  <si>
    <t>Dodsworth</t>
  </si>
  <si>
    <t>Buchanan sold $2800.00 worth of units.</t>
  </si>
  <si>
    <t>Combines contents above into a phrase (Buchanan sold $2800.00 worth of units.)</t>
  </si>
  <si>
    <t>Dodsworth sold 40% of the total sales.</t>
  </si>
  <si>
    <t>Combines contents above into a phrase (Dodsworth sold 40% of the total sales.)</t>
  </si>
  <si>
    <t>Time</t>
  </si>
  <si>
    <t>Decimal part of a day, for the first time above (0.5)</t>
  </si>
  <si>
    <t>Decimal part of a day, for the second time above (0.700115741)</t>
  </si>
  <si>
    <t>TimeValue</t>
  </si>
  <si>
    <t>Time Value of a date serial number</t>
  </si>
  <si>
    <t>Decimal part of a day, for the time (0.1)</t>
  </si>
  <si>
    <t>Decimal part of a day, for the time (0.274305556)</t>
  </si>
  <si>
    <t>Today</t>
  </si>
  <si>
    <t>Today's Date</t>
  </si>
  <si>
    <t>(today's date)</t>
  </si>
  <si>
    <t>Trimmean</t>
  </si>
  <si>
    <t>Trim outlyers</t>
  </si>
  <si>
    <t>Mean of the interior of a data set above, with 20 percent excluded from calculation (3.777778)</t>
  </si>
  <si>
    <t>Trunc</t>
  </si>
  <si>
    <t>Truncate Number</t>
  </si>
  <si>
    <t>Integer part of 8.9 (8)</t>
  </si>
  <si>
    <t>Integer part of -8.9 (-8)</t>
  </si>
  <si>
    <t>Integer part of pi (3)</t>
  </si>
  <si>
    <t>Value</t>
  </si>
  <si>
    <t>Number equivalent of the string (1000)</t>
  </si>
  <si>
    <t>The serial number equivalent to 4 hours and 48 minutes, which is "16:48:00"-"12:00:00" (0.2 or 4:48)</t>
  </si>
  <si>
    <t>Var</t>
  </si>
  <si>
    <t>Variance</t>
  </si>
  <si>
    <t>Variance for the breaking strength of the tools (754.2666667)</t>
  </si>
  <si>
    <t>Vara</t>
  </si>
  <si>
    <t>Varp</t>
  </si>
  <si>
    <t>Variance of breaking strengths for all the tools, assuming that only 10 tools are produced (678.84)</t>
  </si>
  <si>
    <t>Varpa</t>
  </si>
  <si>
    <t>Vdb</t>
  </si>
  <si>
    <t>Variable double declining balance</t>
  </si>
  <si>
    <t>First day's depreciation. Excel automatically assumes that factor is 2 (1.32)</t>
  </si>
  <si>
    <t>Depreciation between the sixth month and the eighteenth month (396.31)</t>
  </si>
  <si>
    <t>Depreciation between the sixth month and the eighteenth month using a factor of 1.5 instead of the double-declining balance method (311.81)</t>
  </si>
  <si>
    <t>Depreciation for the first fiscal year that you own the asset, assuming that tax laws limit you to 150-percent depreciation of the declining balance. Asset is purchased in the middle of the first quarter of the fiscal year. (315.00)</t>
  </si>
  <si>
    <t>Vlookup</t>
  </si>
  <si>
    <t>Column lookups</t>
  </si>
  <si>
    <t>Density</t>
  </si>
  <si>
    <t>Viscosity</t>
  </si>
  <si>
    <t>Temperature</t>
  </si>
  <si>
    <t>Looks up 1 in column A, and returns the value from column B in the same row (2.17)</t>
  </si>
  <si>
    <t>Looks up 1 in column A, and returns the value from column C in the same row (100)</t>
  </si>
  <si>
    <t>Looks up 0.746 in column A. Because there is no exact match in column A, an error is returned (#N/A)</t>
  </si>
  <si>
    <t>Looks up 0.1 in column A. Because 0.1 is less than the smallest value in column A, an error is returned (#N/A)</t>
  </si>
  <si>
    <t>Looks up 2 in column A, and returns the value from column B in the same row (1.71)</t>
  </si>
  <si>
    <t>Weekday</t>
  </si>
  <si>
    <t>Day of Week</t>
  </si>
  <si>
    <t>Day of the week, with numbers 1 (Sunday) through 7 (Saturday) (5)</t>
  </si>
  <si>
    <t>Day of the week, with numbers 1 (Monday) through 7 (Sunday) (4)</t>
  </si>
  <si>
    <t>Day of the week, with numbers 0 (Monday) through 6 (Sunday) (3)</t>
  </si>
  <si>
    <t>Weibull</t>
  </si>
  <si>
    <t>Weibull Distribution</t>
  </si>
  <si>
    <t>Weibull cumulative distribution function for the terms above (0.929581)</t>
  </si>
  <si>
    <t>Weibull probability density function for the terms above (0.035589)</t>
  </si>
  <si>
    <t>Year</t>
  </si>
  <si>
    <t>Year of the first date (2008)</t>
  </si>
  <si>
    <t>Year of the second date (2010)</t>
  </si>
  <si>
    <t>Ztest</t>
  </si>
  <si>
    <t>z-test</t>
  </si>
  <si>
    <t>One-tailed probability-value of a z-test for the data set above, at the hypothesized population mean of 4 (0.090574)</t>
  </si>
  <si>
    <t>Two-tailed probability-value of a z-test for the data set above, at the hypothesized population mean of 4 (0.181149)</t>
  </si>
  <si>
    <t>One-tailed probability-value of a z-test for the data set above, at the hypothesized population mean of 6 (0.863043)</t>
  </si>
  <si>
    <t>Two-tailed probability-value of a z-test for the data set above, at the hypothesized population mean of 6 (0.273913)</t>
  </si>
  <si>
    <t xml:space="preserve"> + operator</t>
  </si>
  <si>
    <t>Addition</t>
  </si>
  <si>
    <t>1 + 2</t>
  </si>
  <si>
    <t xml:space="preserve"> - operator</t>
  </si>
  <si>
    <t>Subtraction</t>
  </si>
  <si>
    <t xml:space="preserve"> 1 - 3</t>
  </si>
  <si>
    <t>* operator</t>
  </si>
  <si>
    <t xml:space="preserve"> * operator</t>
  </si>
  <si>
    <t>Multiplication</t>
  </si>
  <si>
    <t>2 * (-3)</t>
  </si>
  <si>
    <t>/ operator</t>
  </si>
  <si>
    <t xml:space="preserve"> / operator</t>
  </si>
  <si>
    <t>Division</t>
  </si>
  <si>
    <t>2 / (-3)</t>
  </si>
  <si>
    <t>&gt; operator</t>
  </si>
  <si>
    <t xml:space="preserve"> &gt; operator</t>
  </si>
  <si>
    <t>Greater Than</t>
  </si>
  <si>
    <t>2 &gt; 3</t>
  </si>
  <si>
    <t>3 &gt; 3</t>
  </si>
  <si>
    <t>3 &gt; 2</t>
  </si>
  <si>
    <t>&lt; operator</t>
  </si>
  <si>
    <t xml:space="preserve"> &lt; operator</t>
  </si>
  <si>
    <t>Less Than</t>
  </si>
  <si>
    <t>2 &lt; 3</t>
  </si>
  <si>
    <t>3 &lt; 3</t>
  </si>
  <si>
    <t>3 &lt; 2</t>
  </si>
  <si>
    <t xml:space="preserve"> = operator</t>
  </si>
  <si>
    <t xml:space="preserve">  = operator</t>
  </si>
  <si>
    <t>Equals</t>
  </si>
  <si>
    <t>2 = 3</t>
  </si>
  <si>
    <t>3 = 3</t>
  </si>
  <si>
    <t>3 = 2</t>
  </si>
  <si>
    <t>&gt;= operator</t>
  </si>
  <si>
    <t xml:space="preserve"> &gt;= operator</t>
  </si>
  <si>
    <t>Greater Than or Equal</t>
  </si>
  <si>
    <t>&lt;= operator</t>
  </si>
  <si>
    <t xml:space="preserve"> &lt;= operator</t>
  </si>
  <si>
    <t>Less Than or Equal</t>
  </si>
  <si>
    <t>2 &lt;= 3</t>
  </si>
  <si>
    <t>3 &lt;= 3</t>
  </si>
  <si>
    <t>3 &lt;= 2</t>
  </si>
  <si>
    <t>&lt;&gt; operator</t>
  </si>
  <si>
    <t xml:space="preserve">  &lt;&gt; operator</t>
  </si>
  <si>
    <t>Not Equal</t>
  </si>
  <si>
    <t>2 &lt;&gt; 3</t>
  </si>
  <si>
    <t>3 &lt;&gt; 3</t>
  </si>
  <si>
    <t>3 &lt;&gt; 2</t>
  </si>
  <si>
    <t>^ exponent</t>
  </si>
  <si>
    <t xml:space="preserve">  ^ exponent</t>
  </si>
  <si>
    <t>Exponentiation</t>
  </si>
  <si>
    <t>2 ^ 3</t>
  </si>
  <si>
    <t xml:space="preserve"> - unary minus</t>
  </si>
  <si>
    <t>Unary Minus</t>
  </si>
  <si>
    <t xml:space="preserve"> -8 + 6</t>
  </si>
  <si>
    <t xml:space="preserve"> -8 / (-6)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</si>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</sst>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3"/>
  <sheetViews>
    <sheetView tabSelected="1" zoomScaleNormal="100" workbookViewId="0">
      <selection activeCell="B10" sqref="B10"/>
    </sheetView>
  </sheetViews>
  <sheetFormatPr defaultColWidth="13.6328125" defaultRowHeight="18" customHeight="1" x14ac:dyDescent="0.35"/>
  <cols>
    <col min="1" max="1" width="18.81640625" customWidth="1"/>
    <col min="2" max="2" width="19.81640625" customWidth="1"/>
    <col min="3" max="3" width="43.90625" customWidth="1"/>
  </cols>
  <sheetData>
    <row r="1" spans="1:3" s="2" customFormat="1" ht="18" customHeight="1" x14ac:dyDescent="0.35">
      <c r="A1" s="2" t="s">
        <v>0</v>
      </c>
      <c r="B1" s="2" t="s">
        <v>1</v>
      </c>
      <c r="C1" s="2" t="s">
        <v>2</v>
      </c>
    </row>
    <row r="2" spans="1:3" s="3" customFormat="1" ht="18" customHeight="1" x14ac:dyDescent="0.35">
      <c r="A2" s="3" t="s">
        <v>3</v>
      </c>
      <c r="B2" s="3" t="s">
        <v>3</v>
      </c>
      <c r="C2" s="3" t="s">
        <v>4</v>
      </c>
    </row>
    <row r="3" spans="1:3" ht="18" customHeight="1" x14ac:dyDescent="0.35">
      <c r="A3">
        <v>2</v>
      </c>
      <c r="B3">
        <f>ABS(2)</f>
        <v>2</v>
      </c>
      <c r="C3" t="s">
        <v>5</v>
      </c>
    </row>
    <row r="4" spans="1:3" ht="18" customHeight="1" x14ac:dyDescent="0.35">
      <c r="A4">
        <v>2</v>
      </c>
      <c r="B4">
        <f>ABS(-2)</f>
        <v>2</v>
      </c>
      <c r="C4" t="s">
        <v>6</v>
      </c>
    </row>
    <row r="5" spans="1:3" ht="18" customHeight="1" x14ac:dyDescent="0.35">
      <c r="A5">
        <v>4</v>
      </c>
      <c r="B5" t="e">
        <f>ABS(#REF!)</f>
        <v>#REF!</v>
      </c>
      <c r="C5" t="s">
        <v>7</v>
      </c>
    </row>
    <row r="7" spans="1:3" s="4" customFormat="1" ht="18" customHeight="1" x14ac:dyDescent="0.35">
      <c r="A7" s="4" t="s">
        <v>8</v>
      </c>
      <c r="B7" s="4" t="s">
        <v>8</v>
      </c>
      <c r="C7" s="4" t="s">
        <v>9</v>
      </c>
    </row>
    <row r="8" spans="1:3" ht="18" customHeight="1" x14ac:dyDescent="0.35">
      <c r="A8">
        <v>2.094395102</v>
      </c>
      <c r="B8">
        <f>ACOS(-0.5)</f>
        <v>2.0943951023931957</v>
      </c>
      <c r="C8" t="s">
        <v>10</v>
      </c>
    </row>
    <row r="9" spans="1:3" ht="18" customHeight="1" x14ac:dyDescent="0.35">
      <c r="A9">
        <v>120</v>
      </c>
      <c r="B9">
        <f>ACOS(-0.5)*180/PI()</f>
        <v>120.00000000000001</v>
      </c>
      <c r="C9" t="s">
        <v>11</v>
      </c>
    </row>
    <row r="10" spans="1:3" ht="18" customHeight="1" x14ac:dyDescent="0.35">
      <c r="A10">
        <v>120</v>
      </c>
      <c r="B10">
        <f>DEGREES(ACOS(-0.5))</f>
        <v>120.00000000000001</v>
      </c>
      <c r="C10" t="s">
        <v>11</v>
      </c>
    </row>
    <row r="12" spans="1:3" s="4" customFormat="1" ht="18" customHeight="1" x14ac:dyDescent="0.35">
      <c r="A12" s="4" t="s">
        <v>12</v>
      </c>
      <c r="B12" s="4" t="s">
        <v>12</v>
      </c>
      <c r="C12" s="4" t="s">
        <v>13</v>
      </c>
    </row>
    <row r="13" spans="1:3" ht="18" customHeight="1" x14ac:dyDescent="0.35">
      <c r="A13">
        <v>0</v>
      </c>
      <c r="B13">
        <f>ACOSH(1)</f>
        <v>0</v>
      </c>
      <c r="C13" t="s">
        <v>14</v>
      </c>
    </row>
    <row r="14" spans="1:3" ht="18" customHeight="1" x14ac:dyDescent="0.35">
      <c r="A14">
        <v>2.9932228460000001</v>
      </c>
      <c r="B14">
        <f>ACOSH(10)</f>
        <v>2.9932228461263808</v>
      </c>
      <c r="C14" t="s">
        <v>15</v>
      </c>
    </row>
    <row r="16" spans="1:3" s="4" customFormat="1" ht="18" customHeight="1" x14ac:dyDescent="0.35">
      <c r="A16" s="4" t="s">
        <v>16</v>
      </c>
      <c r="B16" s="4" t="s">
        <v>16</v>
      </c>
      <c r="C16" s="4" t="s">
        <v>17</v>
      </c>
    </row>
    <row r="17" spans="1:3" ht="18" customHeight="1" x14ac:dyDescent="0.35">
      <c r="A17" t="b">
        <v>1</v>
      </c>
      <c r="B17" t="b">
        <f>AND(TRUE, TRUE)</f>
        <v>1</v>
      </c>
      <c r="C17" t="s">
        <v>18</v>
      </c>
    </row>
    <row r="18" spans="1:3" ht="18" customHeight="1" x14ac:dyDescent="0.35">
      <c r="A18" t="b">
        <v>0</v>
      </c>
      <c r="B18" t="b">
        <f>AND(TRUE, FALSE)</f>
        <v>0</v>
      </c>
      <c r="C18" t="s">
        <v>19</v>
      </c>
    </row>
    <row r="19" spans="1:3" ht="18" customHeight="1" x14ac:dyDescent="0.35">
      <c r="A19" t="b">
        <v>1</v>
      </c>
      <c r="B19" t="b">
        <f>AND(2+2=4, 2+3=5)</f>
        <v>1</v>
      </c>
      <c r="C19" t="s">
        <v>20</v>
      </c>
    </row>
    <row r="20" spans="1:3" ht="18" customHeight="1" x14ac:dyDescent="0.35">
      <c r="A20">
        <v>50</v>
      </c>
      <c r="B20">
        <v>50</v>
      </c>
    </row>
    <row r="21" spans="1:3" ht="18" customHeight="1" x14ac:dyDescent="0.35">
      <c r="A21">
        <v>104</v>
      </c>
      <c r="B21">
        <v>104</v>
      </c>
    </row>
    <row r="22" spans="1:3" ht="18" customHeight="1" x14ac:dyDescent="0.35">
      <c r="A22" t="b">
        <v>1</v>
      </c>
      <c r="B22" t="b">
        <f>AND(1&lt;B20, B20&lt;100)</f>
        <v>1</v>
      </c>
      <c r="C22" t="s">
        <v>21</v>
      </c>
    </row>
    <row r="23" spans="1:3" ht="18" customHeight="1" x14ac:dyDescent="0.35">
      <c r="A23" t="s">
        <v>22</v>
      </c>
      <c r="B23" t="str">
        <f>IF(AND(1&lt;B21, B21&lt;100), B21, "The value is out of range.")</f>
        <v>The value is out of range.</v>
      </c>
      <c r="C23" t="s">
        <v>23</v>
      </c>
    </row>
    <row r="24" spans="1:3" ht="18" customHeight="1" x14ac:dyDescent="0.35">
      <c r="A24">
        <v>50</v>
      </c>
      <c r="B24">
        <f>IF(AND(1&lt;B20, B20&lt;100), B20, "The value is out of range.")</f>
        <v>50</v>
      </c>
      <c r="C24" t="s">
        <v>24</v>
      </c>
    </row>
    <row r="26" spans="1:3" s="4" customFormat="1" ht="18" customHeight="1" x14ac:dyDescent="0.35">
      <c r="A26" s="4" t="s">
        <v>25</v>
      </c>
      <c r="B26" s="4" t="s">
        <v>25</v>
      </c>
      <c r="C26" s="4" t="s">
        <v>26</v>
      </c>
    </row>
    <row r="27" spans="1:3" ht="18" customHeight="1" x14ac:dyDescent="0.35">
      <c r="A27">
        <v>-0.52359877600000004</v>
      </c>
      <c r="B27">
        <f>ASIN(-0.5)</f>
        <v>-0.52359877559829893</v>
      </c>
      <c r="C27" t="s">
        <v>27</v>
      </c>
    </row>
    <row r="28" spans="1:3" ht="18" customHeight="1" x14ac:dyDescent="0.35">
      <c r="A28">
        <v>-30</v>
      </c>
      <c r="B28">
        <f>ASIN(-0.5)*180/PI()</f>
        <v>-30.000000000000004</v>
      </c>
      <c r="C28" t="s">
        <v>28</v>
      </c>
    </row>
    <row r="29" spans="1:3" ht="18" customHeight="1" x14ac:dyDescent="0.35">
      <c r="A29">
        <v>-30</v>
      </c>
      <c r="B29">
        <f>DEGREES(ASIN(-0.5))</f>
        <v>-30.000000000000004</v>
      </c>
      <c r="C29" t="s">
        <v>28</v>
      </c>
    </row>
    <row r="31" spans="1:3" s="4" customFormat="1" ht="18" customHeight="1" x14ac:dyDescent="0.35">
      <c r="A31" s="4" t="s">
        <v>29</v>
      </c>
      <c r="B31" s="4" t="s">
        <v>29</v>
      </c>
      <c r="C31" s="4" t="s">
        <v>30</v>
      </c>
    </row>
    <row r="32" spans="1:3" ht="18" customHeight="1" x14ac:dyDescent="0.35">
      <c r="A32">
        <v>-1.647231146</v>
      </c>
      <c r="B32">
        <f>ASINH(-2.5)</f>
        <v>-1.6472311463710958</v>
      </c>
      <c r="C32" t="s">
        <v>31</v>
      </c>
    </row>
    <row r="33" spans="1:3" ht="18" customHeight="1" x14ac:dyDescent="0.35">
      <c r="A33">
        <v>2.9982229500000002</v>
      </c>
      <c r="B33">
        <f>ASINH(10)</f>
        <v>2.9982229502979698</v>
      </c>
      <c r="C33" t="s">
        <v>32</v>
      </c>
    </row>
    <row r="35" spans="1:3" s="4" customFormat="1" ht="18" customHeight="1" x14ac:dyDescent="0.35">
      <c r="A35" s="4" t="s">
        <v>33</v>
      </c>
      <c r="B35" s="4" t="s">
        <v>33</v>
      </c>
      <c r="C35" s="4" t="s">
        <v>34</v>
      </c>
    </row>
    <row r="36" spans="1:3" ht="18" customHeight="1" x14ac:dyDescent="0.35">
      <c r="A36">
        <v>0.78539816299999998</v>
      </c>
      <c r="B36">
        <f>ATAN(1)</f>
        <v>0.78539816339744828</v>
      </c>
      <c r="C36" t="s">
        <v>35</v>
      </c>
    </row>
    <row r="37" spans="1:3" ht="18" customHeight="1" x14ac:dyDescent="0.35">
      <c r="A37">
        <v>45</v>
      </c>
      <c r="B37">
        <f>ATAN(1)*180/PI()</f>
        <v>45</v>
      </c>
      <c r="C37" t="s">
        <v>36</v>
      </c>
    </row>
    <row r="38" spans="1:3" ht="18" customHeight="1" x14ac:dyDescent="0.35">
      <c r="A38">
        <v>45</v>
      </c>
      <c r="B38">
        <f>DEGREES(ATAN(1))</f>
        <v>45</v>
      </c>
      <c r="C38" t="s">
        <v>36</v>
      </c>
    </row>
    <row r="40" spans="1:3" s="4" customFormat="1" ht="18" customHeight="1" x14ac:dyDescent="0.35">
      <c r="A40" s="4" t="s">
        <v>37</v>
      </c>
      <c r="B40" s="4" t="s">
        <v>37</v>
      </c>
      <c r="C40" s="4" t="s">
        <v>34</v>
      </c>
    </row>
    <row r="41" spans="1:3" ht="18" customHeight="1" x14ac:dyDescent="0.35">
      <c r="A41">
        <v>0.78539816299999998</v>
      </c>
      <c r="B41">
        <f>ATAN2(1, 1)</f>
        <v>0.78539816339744828</v>
      </c>
      <c r="C41" t="s">
        <v>38</v>
      </c>
    </row>
    <row r="42" spans="1:3" ht="18" customHeight="1" x14ac:dyDescent="0.35">
      <c r="A42">
        <v>-2.35619449</v>
      </c>
      <c r="B42">
        <f>ATAN2(-1, -1)</f>
        <v>-2.3561944901923448</v>
      </c>
      <c r="C42" t="s">
        <v>39</v>
      </c>
    </row>
    <row r="43" spans="1:3" ht="18" customHeight="1" x14ac:dyDescent="0.35">
      <c r="A43">
        <v>-135</v>
      </c>
      <c r="B43">
        <f>ATAN2(-1, -1)*180/PI()</f>
        <v>-135</v>
      </c>
      <c r="C43" t="s">
        <v>40</v>
      </c>
    </row>
    <row r="44" spans="1:3" ht="18" customHeight="1" x14ac:dyDescent="0.35">
      <c r="A44">
        <v>-135</v>
      </c>
      <c r="B44">
        <f>DEGREES(ATAN2(-1, -1))</f>
        <v>-135</v>
      </c>
      <c r="C44" t="s">
        <v>40</v>
      </c>
    </row>
    <row r="46" spans="1:3" s="4" customFormat="1" ht="18" customHeight="1" x14ac:dyDescent="0.35">
      <c r="A46" s="4" t="s">
        <v>41</v>
      </c>
      <c r="B46" s="4" t="s">
        <v>41</v>
      </c>
      <c r="C46" s="4" t="s">
        <v>42</v>
      </c>
    </row>
    <row r="47" spans="1:3" ht="18" customHeight="1" x14ac:dyDescent="0.35">
      <c r="A47">
        <v>1.0000000099999999</v>
      </c>
      <c r="B47">
        <f>ATANH(0.76159416)</f>
        <v>1.0000000096297197</v>
      </c>
      <c r="C47" t="s">
        <v>43</v>
      </c>
    </row>
    <row r="48" spans="1:3" ht="18" customHeight="1" x14ac:dyDescent="0.35">
      <c r="A48">
        <v>-0.100335348</v>
      </c>
      <c r="B48">
        <f>ATANH(-0.1)</f>
        <v>-0.10033534773107562</v>
      </c>
      <c r="C48" t="s">
        <v>44</v>
      </c>
    </row>
    <row r="50" spans="1:3" s="4" customFormat="1" ht="18" customHeight="1" x14ac:dyDescent="0.35">
      <c r="A50" s="4" t="s">
        <v>45</v>
      </c>
      <c r="B50" s="4" t="s">
        <v>45</v>
      </c>
      <c r="C50" s="4" t="s">
        <v>46</v>
      </c>
    </row>
    <row r="51" spans="1:3" ht="18" customHeight="1" x14ac:dyDescent="0.35">
      <c r="A51">
        <v>4</v>
      </c>
      <c r="B51">
        <v>4</v>
      </c>
    </row>
    <row r="52" spans="1:3" ht="18" customHeight="1" x14ac:dyDescent="0.35">
      <c r="A52">
        <v>5</v>
      </c>
      <c r="B52">
        <v>5</v>
      </c>
    </row>
    <row r="53" spans="1:3" ht="18" customHeight="1" x14ac:dyDescent="0.35">
      <c r="A53">
        <v>6</v>
      </c>
      <c r="B53">
        <v>6</v>
      </c>
    </row>
    <row r="54" spans="1:3" ht="18" customHeight="1" x14ac:dyDescent="0.35">
      <c r="A54">
        <v>7</v>
      </c>
      <c r="B54">
        <v>7</v>
      </c>
    </row>
    <row r="55" spans="1:3" ht="18" customHeight="1" x14ac:dyDescent="0.35">
      <c r="A55">
        <v>5</v>
      </c>
      <c r="B55">
        <v>5</v>
      </c>
    </row>
    <row r="56" spans="1:3" ht="18" customHeight="1" x14ac:dyDescent="0.35">
      <c r="A56">
        <v>4</v>
      </c>
      <c r="B56">
        <v>4</v>
      </c>
    </row>
    <row r="57" spans="1:3" ht="18" customHeight="1" x14ac:dyDescent="0.35">
      <c r="A57">
        <v>3</v>
      </c>
      <c r="B57">
        <v>3</v>
      </c>
    </row>
    <row r="58" spans="1:3" ht="18" customHeight="1" x14ac:dyDescent="0.35">
      <c r="A58">
        <v>1.0204081629999999</v>
      </c>
      <c r="B58">
        <f>AVEDEV(B51:B57)</f>
        <v>1.0204081632653061</v>
      </c>
      <c r="C58" t="s">
        <v>47</v>
      </c>
    </row>
    <row r="60" spans="1:3" s="4" customFormat="1" ht="18" customHeight="1" x14ac:dyDescent="0.35">
      <c r="A60" s="4" t="s">
        <v>48</v>
      </c>
      <c r="B60" s="4" t="s">
        <v>48</v>
      </c>
      <c r="C60" s="4" t="s">
        <v>48</v>
      </c>
    </row>
    <row r="61" spans="1:3" ht="18" customHeight="1" x14ac:dyDescent="0.35">
      <c r="A61">
        <v>10</v>
      </c>
      <c r="B61">
        <v>10</v>
      </c>
    </row>
    <row r="62" spans="1:3" ht="18" customHeight="1" x14ac:dyDescent="0.35">
      <c r="A62">
        <v>7</v>
      </c>
      <c r="B62">
        <v>7</v>
      </c>
    </row>
    <row r="63" spans="1:3" ht="18" customHeight="1" x14ac:dyDescent="0.35">
      <c r="A63">
        <v>9</v>
      </c>
      <c r="B63">
        <v>9</v>
      </c>
    </row>
    <row r="64" spans="1:3" ht="18" customHeight="1" x14ac:dyDescent="0.35">
      <c r="A64">
        <v>27</v>
      </c>
      <c r="B64">
        <v>27</v>
      </c>
    </row>
    <row r="65" spans="1:3" ht="18" customHeight="1" x14ac:dyDescent="0.35">
      <c r="A65">
        <v>2</v>
      </c>
      <c r="B65">
        <v>2</v>
      </c>
    </row>
    <row r="66" spans="1:3" ht="18" customHeight="1" x14ac:dyDescent="0.35">
      <c r="A66">
        <v>11</v>
      </c>
      <c r="B66">
        <f>AVERAGE(B61:B65)</f>
        <v>11</v>
      </c>
      <c r="C66" t="s">
        <v>49</v>
      </c>
    </row>
    <row r="67" spans="1:3" ht="18" customHeight="1" x14ac:dyDescent="0.35">
      <c r="A67">
        <v>10</v>
      </c>
      <c r="B67">
        <f>AVERAGE(B61:B65, 5)</f>
        <v>10</v>
      </c>
      <c r="C67" t="s">
        <v>50</v>
      </c>
    </row>
    <row r="69" spans="1:3" s="4" customFormat="1" ht="18" customHeight="1" x14ac:dyDescent="0.35">
      <c r="A69" s="4" t="s">
        <v>51</v>
      </c>
      <c r="B69" s="4" t="s">
        <v>51</v>
      </c>
      <c r="C69" s="4" t="s">
        <v>48</v>
      </c>
    </row>
    <row r="70" spans="1:3" ht="18" customHeight="1" x14ac:dyDescent="0.35">
      <c r="A70">
        <v>10</v>
      </c>
      <c r="B70">
        <v>10</v>
      </c>
    </row>
    <row r="71" spans="1:3" ht="18" customHeight="1" x14ac:dyDescent="0.35">
      <c r="A71">
        <v>7</v>
      </c>
      <c r="B71">
        <v>7</v>
      </c>
    </row>
    <row r="72" spans="1:3" ht="18" customHeight="1" x14ac:dyDescent="0.35">
      <c r="A72">
        <v>9</v>
      </c>
      <c r="B72">
        <v>9</v>
      </c>
    </row>
    <row r="73" spans="1:3" ht="18" customHeight="1" x14ac:dyDescent="0.35">
      <c r="A73">
        <v>2</v>
      </c>
      <c r="B73">
        <v>2</v>
      </c>
    </row>
    <row r="74" spans="1:3" ht="18" customHeight="1" x14ac:dyDescent="0.35">
      <c r="A74" t="s">
        <v>52</v>
      </c>
      <c r="B74" t="s">
        <v>52</v>
      </c>
    </row>
    <row r="76" spans="1:3" ht="18" customHeight="1" x14ac:dyDescent="0.35">
      <c r="A76">
        <v>5.6</v>
      </c>
      <c r="B76">
        <f>AVERAGEA(B70:B74)</f>
        <v>5.6</v>
      </c>
      <c r="C76" t="s">
        <v>53</v>
      </c>
    </row>
    <row r="77" spans="1:3" ht="18" customHeight="1" x14ac:dyDescent="0.35">
      <c r="A77">
        <v>7</v>
      </c>
      <c r="B77">
        <f>AVERAGEA(B70:B73,B75)</f>
        <v>7</v>
      </c>
      <c r="C77" t="s">
        <v>54</v>
      </c>
    </row>
    <row r="79" spans="1:3" s="4" customFormat="1" ht="18" customHeight="1" x14ac:dyDescent="0.35">
      <c r="A79" s="4" t="s">
        <v>55</v>
      </c>
      <c r="B79" s="4" t="s">
        <v>55</v>
      </c>
      <c r="C79" s="4" t="s">
        <v>56</v>
      </c>
    </row>
    <row r="80" spans="1:3" ht="18" customHeight="1" x14ac:dyDescent="0.35">
      <c r="A80">
        <v>6</v>
      </c>
      <c r="B80">
        <v>6</v>
      </c>
      <c r="C80" t="s">
        <v>57</v>
      </c>
    </row>
    <row r="81" spans="1:3" ht="18" customHeight="1" x14ac:dyDescent="0.35">
      <c r="A81">
        <v>10</v>
      </c>
      <c r="B81">
        <v>10</v>
      </c>
      <c r="C81" t="s">
        <v>58</v>
      </c>
    </row>
    <row r="82" spans="1:3" ht="18" customHeight="1" x14ac:dyDescent="0.35">
      <c r="A82">
        <v>0.5</v>
      </c>
      <c r="B82">
        <v>0.5</v>
      </c>
      <c r="C82" t="s">
        <v>59</v>
      </c>
    </row>
    <row r="83" spans="1:3" ht="18" customHeight="1" x14ac:dyDescent="0.35">
      <c r="A83">
        <v>0.205078125</v>
      </c>
      <c r="B83">
        <f>BINOMDIST(B80,B81,B82,FALSE)</f>
        <v>0.20507812500000006</v>
      </c>
      <c r="C83" t="s">
        <v>60</v>
      </c>
    </row>
    <row r="85" spans="1:3" s="4" customFormat="1" ht="18" customHeight="1" x14ac:dyDescent="0.35">
      <c r="A85" s="4" t="s">
        <v>61</v>
      </c>
      <c r="B85" s="4" t="s">
        <v>61</v>
      </c>
      <c r="C85" s="4" t="s">
        <v>61</v>
      </c>
    </row>
    <row r="86" spans="1:3" ht="18" customHeight="1" x14ac:dyDescent="0.35">
      <c r="A86">
        <v>3</v>
      </c>
      <c r="B86">
        <f>CEILING(2.5, 1)</f>
        <v>3</v>
      </c>
      <c r="C86" t="s">
        <v>62</v>
      </c>
    </row>
    <row r="87" spans="1:3" ht="18" customHeight="1" x14ac:dyDescent="0.35">
      <c r="A87">
        <v>-4</v>
      </c>
      <c r="B87">
        <f>CEILING(-2.5, -2)</f>
        <v>-4</v>
      </c>
      <c r="C87" t="s">
        <v>63</v>
      </c>
    </row>
    <row r="88" spans="1:3" ht="18" customHeight="1" x14ac:dyDescent="0.35">
      <c r="A88" t="e">
        <v>#NUM!</v>
      </c>
      <c r="B88">
        <f>CEILING(-2.5, 2)</f>
        <v>-2</v>
      </c>
      <c r="C88" t="s">
        <v>64</v>
      </c>
    </row>
    <row r="89" spans="1:3" ht="18" customHeight="1" x14ac:dyDescent="0.35">
      <c r="A89">
        <v>1.5</v>
      </c>
      <c r="B89">
        <f>CEILING(1.5, 0.1)</f>
        <v>1.5</v>
      </c>
      <c r="C89" t="s">
        <v>65</v>
      </c>
    </row>
    <row r="90" spans="1:3" ht="18" customHeight="1" x14ac:dyDescent="0.35">
      <c r="A90">
        <v>0.24</v>
      </c>
      <c r="B90">
        <f>CEILING(0.234, 0.01)</f>
        <v>0.24</v>
      </c>
      <c r="C90" t="s">
        <v>66</v>
      </c>
    </row>
    <row r="92" spans="1:3" s="4" customFormat="1" ht="18" customHeight="1" x14ac:dyDescent="0.35">
      <c r="A92" s="4" t="s">
        <v>67</v>
      </c>
      <c r="B92" s="4" t="s">
        <v>67</v>
      </c>
      <c r="C92" s="4" t="s">
        <v>68</v>
      </c>
    </row>
    <row r="93" spans="1:3" ht="18" customHeight="1" x14ac:dyDescent="0.35">
      <c r="A93">
        <v>18.306999999999999</v>
      </c>
      <c r="B93">
        <v>18.306999999999999</v>
      </c>
      <c r="C93" t="s">
        <v>69</v>
      </c>
    </row>
    <row r="94" spans="1:3" ht="18" customHeight="1" x14ac:dyDescent="0.35">
      <c r="A94">
        <v>10</v>
      </c>
      <c r="B94">
        <v>10</v>
      </c>
      <c r="C94" t="s">
        <v>70</v>
      </c>
    </row>
    <row r="95" spans="1:3" ht="18" customHeight="1" x14ac:dyDescent="0.35">
      <c r="A95">
        <v>5.0000588999999998E-2</v>
      </c>
      <c r="B95">
        <f>CHIDIST(B93,B94)</f>
        <v>5.0000589091398109E-2</v>
      </c>
      <c r="C95" t="s">
        <v>71</v>
      </c>
    </row>
    <row r="97" spans="1:4" s="4" customFormat="1" ht="18" customHeight="1" x14ac:dyDescent="0.35">
      <c r="A97" s="4" t="s">
        <v>72</v>
      </c>
      <c r="B97" s="4" t="s">
        <v>72</v>
      </c>
      <c r="C97" s="4" t="s">
        <v>73</v>
      </c>
    </row>
    <row r="98" spans="1:4" ht="18" customHeight="1" x14ac:dyDescent="0.35">
      <c r="A98">
        <v>0.05</v>
      </c>
      <c r="B98">
        <v>0.05</v>
      </c>
      <c r="C98" t="s">
        <v>74</v>
      </c>
    </row>
    <row r="99" spans="1:4" ht="18" customHeight="1" x14ac:dyDescent="0.35">
      <c r="A99">
        <v>10</v>
      </c>
      <c r="B99">
        <v>10</v>
      </c>
      <c r="C99" t="s">
        <v>70</v>
      </c>
    </row>
    <row r="100" spans="1:4" ht="18" customHeight="1" x14ac:dyDescent="0.35">
      <c r="A100">
        <v>18.307038049999999</v>
      </c>
      <c r="B100">
        <f>CHIINV(B98,B99)</f>
        <v>18.307038053275146</v>
      </c>
      <c r="C100" t="s">
        <v>75</v>
      </c>
    </row>
    <row r="102" spans="1:4" s="4" customFormat="1" ht="18" customHeight="1" x14ac:dyDescent="0.35">
      <c r="A102" s="4" t="s">
        <v>76</v>
      </c>
      <c r="B102" s="4" t="s">
        <v>76</v>
      </c>
      <c r="C102" s="4" t="s">
        <v>77</v>
      </c>
    </row>
    <row r="103" spans="1:4" ht="18" customHeight="1" x14ac:dyDescent="0.35">
      <c r="A103">
        <v>58</v>
      </c>
      <c r="B103">
        <v>58</v>
      </c>
      <c r="C103">
        <v>35</v>
      </c>
      <c r="D103" t="s">
        <v>78</v>
      </c>
    </row>
    <row r="104" spans="1:4" ht="18" customHeight="1" x14ac:dyDescent="0.35">
      <c r="A104">
        <v>11</v>
      </c>
      <c r="B104">
        <v>11</v>
      </c>
      <c r="C104">
        <v>25</v>
      </c>
      <c r="D104" t="s">
        <v>79</v>
      </c>
    </row>
    <row r="105" spans="1:4" ht="18" customHeight="1" x14ac:dyDescent="0.35">
      <c r="A105">
        <v>10</v>
      </c>
      <c r="B105">
        <v>10</v>
      </c>
      <c r="C105">
        <v>23</v>
      </c>
      <c r="D105" t="s">
        <v>80</v>
      </c>
    </row>
    <row r="106" spans="1:4" ht="18" customHeight="1" x14ac:dyDescent="0.35">
      <c r="A106">
        <v>45.35</v>
      </c>
      <c r="B106">
        <v>45.35</v>
      </c>
      <c r="C106">
        <v>47.65</v>
      </c>
      <c r="D106" t="s">
        <v>78</v>
      </c>
    </row>
    <row r="107" spans="1:4" ht="18" customHeight="1" x14ac:dyDescent="0.35">
      <c r="A107">
        <v>17.559999999999999</v>
      </c>
      <c r="B107">
        <v>17.559999999999999</v>
      </c>
      <c r="C107">
        <v>18.440000000000001</v>
      </c>
      <c r="D107" t="s">
        <v>79</v>
      </c>
    </row>
    <row r="108" spans="1:4" ht="18" customHeight="1" x14ac:dyDescent="0.35">
      <c r="A108">
        <v>16.09</v>
      </c>
      <c r="B108">
        <v>16.09</v>
      </c>
      <c r="C108">
        <v>16.91</v>
      </c>
      <c r="D108" t="s">
        <v>80</v>
      </c>
    </row>
    <row r="109" spans="1:4" ht="18" customHeight="1" x14ac:dyDescent="0.35">
      <c r="A109" t="s">
        <v>81</v>
      </c>
      <c r="B109" t="s">
        <v>81</v>
      </c>
      <c r="C109" t="s">
        <v>82</v>
      </c>
    </row>
    <row r="111" spans="1:4" s="4" customFormat="1" ht="18" customHeight="1" x14ac:dyDescent="0.35">
      <c r="A111" s="4" t="s">
        <v>83</v>
      </c>
      <c r="B111" s="4" t="s">
        <v>83</v>
      </c>
      <c r="C111" s="4" t="s">
        <v>84</v>
      </c>
    </row>
    <row r="112" spans="1:4" ht="18" customHeight="1" x14ac:dyDescent="0.35">
      <c r="A112">
        <v>28</v>
      </c>
      <c r="B112">
        <f>COMBIN(8,2)</f>
        <v>28</v>
      </c>
      <c r="C112" t="s">
        <v>85</v>
      </c>
    </row>
    <row r="114" spans="1:3" s="4" customFormat="1" ht="18" customHeight="1" x14ac:dyDescent="0.35">
      <c r="A114" s="4" t="s">
        <v>86</v>
      </c>
      <c r="B114" s="4" t="s">
        <v>86</v>
      </c>
      <c r="C114" s="4" t="s">
        <v>87</v>
      </c>
    </row>
    <row r="115" spans="1:3" ht="18" customHeight="1" x14ac:dyDescent="0.35">
      <c r="A115" t="s">
        <v>88</v>
      </c>
      <c r="B115" t="s">
        <v>88</v>
      </c>
    </row>
    <row r="116" spans="1:3" ht="18" customHeight="1" x14ac:dyDescent="0.35">
      <c r="A116" t="s">
        <v>89</v>
      </c>
      <c r="B116" t="s">
        <v>89</v>
      </c>
    </row>
    <row r="117" spans="1:3" ht="18" customHeight="1" x14ac:dyDescent="0.35">
      <c r="A117">
        <v>32</v>
      </c>
      <c r="B117">
        <v>32</v>
      </c>
    </row>
    <row r="118" spans="1:3" ht="18" customHeight="1" x14ac:dyDescent="0.35">
      <c r="A118" t="s">
        <v>90</v>
      </c>
      <c r="B118" t="str">
        <f>CONCATENATE("Stream population for ",B115," ",B116," is ",B117,"per mile")</f>
        <v>Stream population for brook trout species is 32per mile</v>
      </c>
      <c r="C118" t="s">
        <v>91</v>
      </c>
    </row>
    <row r="120" spans="1:3" s="4" customFormat="1" ht="18" customHeight="1" x14ac:dyDescent="0.35">
      <c r="A120" s="4" t="s">
        <v>92</v>
      </c>
      <c r="B120" s="4" t="s">
        <v>92</v>
      </c>
      <c r="C120" s="4" t="s">
        <v>92</v>
      </c>
    </row>
    <row r="121" spans="1:3" ht="18" customHeight="1" x14ac:dyDescent="0.35">
      <c r="A121">
        <v>0.05</v>
      </c>
      <c r="B121">
        <v>0.05</v>
      </c>
      <c r="C121" t="s">
        <v>93</v>
      </c>
    </row>
    <row r="122" spans="1:3" ht="18" customHeight="1" x14ac:dyDescent="0.35">
      <c r="A122">
        <v>2.5</v>
      </c>
      <c r="B122">
        <v>2.5</v>
      </c>
      <c r="C122" t="s">
        <v>94</v>
      </c>
    </row>
    <row r="123" spans="1:3" ht="18" customHeight="1" x14ac:dyDescent="0.35">
      <c r="A123">
        <v>50</v>
      </c>
      <c r="B123">
        <v>50</v>
      </c>
      <c r="C123" t="s">
        <v>95</v>
      </c>
    </row>
    <row r="124" spans="1:3" ht="18" customHeight="1" x14ac:dyDescent="0.35">
      <c r="A124">
        <v>0.69295191199999995</v>
      </c>
      <c r="B124">
        <f>CONFIDENCE(B121,B122,B123)</f>
        <v>0.69295191217483865</v>
      </c>
      <c r="C124" t="s">
        <v>96</v>
      </c>
    </row>
    <row r="126" spans="1:3" s="4" customFormat="1" ht="18" customHeight="1" x14ac:dyDescent="0.35">
      <c r="A126" s="4" t="s">
        <v>97</v>
      </c>
      <c r="B126" s="4" t="s">
        <v>97</v>
      </c>
      <c r="C126" s="4" t="s">
        <v>98</v>
      </c>
    </row>
    <row r="127" spans="1:3" ht="18" customHeight="1" x14ac:dyDescent="0.35">
      <c r="A127">
        <v>3</v>
      </c>
      <c r="B127">
        <v>3</v>
      </c>
      <c r="C127">
        <v>9</v>
      </c>
    </row>
    <row r="128" spans="1:3" ht="18" customHeight="1" x14ac:dyDescent="0.35">
      <c r="A128">
        <v>2</v>
      </c>
      <c r="B128">
        <v>2</v>
      </c>
      <c r="C128">
        <v>7</v>
      </c>
    </row>
    <row r="129" spans="1:3" ht="18" customHeight="1" x14ac:dyDescent="0.35">
      <c r="A129">
        <v>4</v>
      </c>
      <c r="B129">
        <v>4</v>
      </c>
      <c r="C129">
        <v>12</v>
      </c>
    </row>
    <row r="130" spans="1:3" ht="18" customHeight="1" x14ac:dyDescent="0.35">
      <c r="A130">
        <v>5</v>
      </c>
      <c r="B130">
        <v>5</v>
      </c>
      <c r="C130">
        <v>15</v>
      </c>
    </row>
    <row r="131" spans="1:3" ht="18" customHeight="1" x14ac:dyDescent="0.35">
      <c r="A131">
        <v>6</v>
      </c>
      <c r="B131">
        <v>6</v>
      </c>
      <c r="C131">
        <v>17</v>
      </c>
    </row>
    <row r="132" spans="1:3" ht="18" customHeight="1" x14ac:dyDescent="0.35">
      <c r="A132">
        <v>0.99705448600000002</v>
      </c>
      <c r="B132">
        <f>CORREL(B127:B131,C127:C131)</f>
        <v>0.99705448550158138</v>
      </c>
      <c r="C132" t="s">
        <v>99</v>
      </c>
    </row>
    <row r="134" spans="1:3" s="4" customFormat="1" ht="18" customHeight="1" x14ac:dyDescent="0.35">
      <c r="A134" s="4" t="s">
        <v>100</v>
      </c>
      <c r="B134" s="4" t="s">
        <v>100</v>
      </c>
      <c r="C134" s="4" t="s">
        <v>101</v>
      </c>
    </row>
    <row r="135" spans="1:3" ht="18" customHeight="1" x14ac:dyDescent="0.35">
      <c r="A135">
        <v>0.50017107500000002</v>
      </c>
      <c r="B135">
        <f>COS(1.047)</f>
        <v>0.50017107459707011</v>
      </c>
      <c r="C135" t="s">
        <v>102</v>
      </c>
    </row>
    <row r="136" spans="1:3" ht="18" customHeight="1" x14ac:dyDescent="0.35">
      <c r="A136">
        <v>0.5</v>
      </c>
      <c r="B136">
        <f>COS(60*PI()/180)</f>
        <v>0.50000000000000011</v>
      </c>
      <c r="C136" t="s">
        <v>103</v>
      </c>
    </row>
    <row r="137" spans="1:3" ht="18" customHeight="1" x14ac:dyDescent="0.35">
      <c r="A137">
        <v>0.5</v>
      </c>
      <c r="B137">
        <f>COS(RADIANS(60))</f>
        <v>0.50000000000000011</v>
      </c>
      <c r="C137" t="s">
        <v>103</v>
      </c>
    </row>
    <row r="139" spans="1:3" s="4" customFormat="1" ht="18" customHeight="1" x14ac:dyDescent="0.35">
      <c r="A139" s="4" t="s">
        <v>104</v>
      </c>
      <c r="B139" s="4" t="s">
        <v>104</v>
      </c>
      <c r="C139" s="4" t="s">
        <v>105</v>
      </c>
    </row>
    <row r="140" spans="1:3" ht="18" customHeight="1" x14ac:dyDescent="0.35">
      <c r="A140">
        <v>27.308232839999999</v>
      </c>
      <c r="B140">
        <f>COSH(4)</f>
        <v>27.308232836016487</v>
      </c>
      <c r="C140" t="s">
        <v>106</v>
      </c>
    </row>
    <row r="141" spans="1:3" ht="18" customHeight="1" x14ac:dyDescent="0.35">
      <c r="A141">
        <v>7.610125139</v>
      </c>
      <c r="B141">
        <f>COSH(EXP(1))</f>
        <v>7.6101251386622879</v>
      </c>
      <c r="C141" t="s">
        <v>107</v>
      </c>
    </row>
    <row r="143" spans="1:3" s="4" customFormat="1" ht="18" customHeight="1" x14ac:dyDescent="0.35">
      <c r="A143" s="4" t="s">
        <v>108</v>
      </c>
      <c r="B143" s="4" t="s">
        <v>108</v>
      </c>
      <c r="C143" s="4" t="s">
        <v>108</v>
      </c>
    </row>
    <row r="144" spans="1:3" ht="18" customHeight="1" x14ac:dyDescent="0.35">
      <c r="A144" t="s">
        <v>109</v>
      </c>
      <c r="B144" t="s">
        <v>109</v>
      </c>
    </row>
    <row r="145" spans="1:3" ht="18" customHeight="1" x14ac:dyDescent="0.35">
      <c r="A145">
        <v>39790</v>
      </c>
      <c r="B145">
        <v>39790</v>
      </c>
    </row>
    <row r="147" spans="1:3" ht="18" customHeight="1" x14ac:dyDescent="0.35">
      <c r="A147">
        <v>19</v>
      </c>
      <c r="B147">
        <v>19</v>
      </c>
    </row>
    <row r="148" spans="1:3" ht="18" customHeight="1" x14ac:dyDescent="0.35">
      <c r="A148">
        <v>22.24</v>
      </c>
      <c r="B148">
        <v>22.24</v>
      </c>
    </row>
    <row r="149" spans="1:3" ht="18" customHeight="1" x14ac:dyDescent="0.35">
      <c r="A149" t="b">
        <v>1</v>
      </c>
      <c r="B149" t="b">
        <v>1</v>
      </c>
    </row>
    <row r="150" spans="1:3" ht="18" customHeight="1" x14ac:dyDescent="0.35">
      <c r="A150" t="e">
        <v>#DIV/0!</v>
      </c>
      <c r="B150" t="e">
        <v>#DIV/0!</v>
      </c>
    </row>
    <row r="151" spans="1:3" ht="18" customHeight="1" x14ac:dyDescent="0.35">
      <c r="A151">
        <v>3</v>
      </c>
      <c r="B151">
        <f>COUNT(B144:B150)</f>
        <v>3</v>
      </c>
      <c r="C151" t="s">
        <v>110</v>
      </c>
    </row>
    <row r="152" spans="1:3" ht="18" customHeight="1" x14ac:dyDescent="0.35">
      <c r="A152">
        <v>2</v>
      </c>
      <c r="B152">
        <f>COUNT(B147:B150)</f>
        <v>2</v>
      </c>
      <c r="C152" t="s">
        <v>111</v>
      </c>
    </row>
    <row r="153" spans="1:3" ht="18" customHeight="1" x14ac:dyDescent="0.35">
      <c r="A153">
        <v>4</v>
      </c>
      <c r="B153">
        <f>COUNT(B144:B150,2)</f>
        <v>4</v>
      </c>
      <c r="C153" t="s">
        <v>112</v>
      </c>
    </row>
    <row r="155" spans="1:3" s="4" customFormat="1" ht="18" customHeight="1" x14ac:dyDescent="0.35">
      <c r="A155" s="4" t="s">
        <v>113</v>
      </c>
      <c r="B155" s="4" t="s">
        <v>113</v>
      </c>
      <c r="C155" s="4" t="s">
        <v>108</v>
      </c>
    </row>
    <row r="156" spans="1:3" ht="18" customHeight="1" x14ac:dyDescent="0.35">
      <c r="A156">
        <v>6</v>
      </c>
      <c r="B156">
        <f>COUNTA(B144:B150)</f>
        <v>6</v>
      </c>
      <c r="C156" t="s">
        <v>114</v>
      </c>
    </row>
    <row r="157" spans="1:3" ht="18" customHeight="1" x14ac:dyDescent="0.35">
      <c r="A157">
        <v>4</v>
      </c>
      <c r="B157">
        <f>COUNTA(B147:B150)</f>
        <v>4</v>
      </c>
      <c r="C157" t="s">
        <v>115</v>
      </c>
    </row>
    <row r="158" spans="1:3" ht="18" customHeight="1" x14ac:dyDescent="0.35">
      <c r="A158">
        <v>7</v>
      </c>
      <c r="B158">
        <f>COUNTA(B144:B150,2)</f>
        <v>7</v>
      </c>
      <c r="C158" t="s">
        <v>116</v>
      </c>
    </row>
    <row r="159" spans="1:3" ht="18" customHeight="1" x14ac:dyDescent="0.35">
      <c r="A159">
        <v>7</v>
      </c>
      <c r="B159">
        <f>COUNTA(B144:B150,2)</f>
        <v>7</v>
      </c>
      <c r="C159" t="s">
        <v>117</v>
      </c>
    </row>
    <row r="161" spans="1:3" s="4" customFormat="1" ht="18" customHeight="1" x14ac:dyDescent="0.35">
      <c r="A161" s="4" t="s">
        <v>118</v>
      </c>
      <c r="B161" s="4" t="s">
        <v>118</v>
      </c>
      <c r="C161" s="4" t="s">
        <v>119</v>
      </c>
    </row>
    <row r="163" spans="1:3" ht="18" customHeight="1" x14ac:dyDescent="0.35">
      <c r="A163">
        <v>6</v>
      </c>
      <c r="B163">
        <v>6</v>
      </c>
      <c r="C163" t="str">
        <f>IF(C164&lt;30,"",C164)</f>
        <v/>
      </c>
    </row>
    <row r="164" spans="1:3" ht="18" customHeight="1" x14ac:dyDescent="0.35">
      <c r="C164">
        <v>27</v>
      </c>
    </row>
    <row r="165" spans="1:3" ht="18" customHeight="1" x14ac:dyDescent="0.35">
      <c r="A165">
        <v>4</v>
      </c>
      <c r="B165">
        <v>4</v>
      </c>
      <c r="C165">
        <v>34</v>
      </c>
    </row>
    <row r="166" spans="1:3" ht="18" customHeight="1" x14ac:dyDescent="0.35">
      <c r="A166">
        <v>4</v>
      </c>
      <c r="B166">
        <f>COUNTBLANK(B162:C165)</f>
        <v>4</v>
      </c>
      <c r="C166" t="s">
        <v>120</v>
      </c>
    </row>
    <row r="168" spans="1:3" s="4" customFormat="1" ht="18" customHeight="1" x14ac:dyDescent="0.35">
      <c r="A168" s="4" t="s">
        <v>121</v>
      </c>
      <c r="B168" s="4" t="s">
        <v>121</v>
      </c>
      <c r="C168" s="4" t="s">
        <v>122</v>
      </c>
    </row>
    <row r="169" spans="1:3" ht="18" customHeight="1" x14ac:dyDescent="0.35">
      <c r="A169" t="s">
        <v>123</v>
      </c>
      <c r="B169" t="s">
        <v>123</v>
      </c>
      <c r="C169">
        <v>32</v>
      </c>
    </row>
    <row r="170" spans="1:3" ht="18" customHeight="1" x14ac:dyDescent="0.35">
      <c r="A170" t="s">
        <v>124</v>
      </c>
      <c r="B170" t="s">
        <v>124</v>
      </c>
      <c r="C170">
        <v>54</v>
      </c>
    </row>
    <row r="171" spans="1:3" ht="18" customHeight="1" x14ac:dyDescent="0.35">
      <c r="A171" t="s">
        <v>125</v>
      </c>
      <c r="B171" t="s">
        <v>125</v>
      </c>
      <c r="C171">
        <v>75</v>
      </c>
    </row>
    <row r="172" spans="1:3" ht="18" customHeight="1" x14ac:dyDescent="0.35">
      <c r="A172" t="s">
        <v>123</v>
      </c>
      <c r="B172" t="s">
        <v>123</v>
      </c>
      <c r="C172">
        <v>86</v>
      </c>
    </row>
    <row r="173" spans="1:3" ht="18" customHeight="1" x14ac:dyDescent="0.35">
      <c r="A173">
        <v>2</v>
      </c>
      <c r="B173">
        <f>COUNTIF(B169:B172,"apples")</f>
        <v>2</v>
      </c>
      <c r="C173" t="s">
        <v>126</v>
      </c>
    </row>
    <row r="174" spans="1:3" ht="18" customHeight="1" x14ac:dyDescent="0.35">
      <c r="A174">
        <v>2</v>
      </c>
      <c r="B174">
        <f>COUNTIF(C169:C172,"&gt;55")</f>
        <v>2</v>
      </c>
      <c r="C174" t="s">
        <v>127</v>
      </c>
    </row>
    <row r="176" spans="1:3" s="4" customFormat="1" ht="18" customHeight="1" x14ac:dyDescent="0.35">
      <c r="A176" s="4" t="s">
        <v>128</v>
      </c>
      <c r="B176" s="4" t="s">
        <v>128</v>
      </c>
      <c r="C176" s="4" t="s">
        <v>129</v>
      </c>
    </row>
    <row r="177" spans="1:3" ht="18" customHeight="1" x14ac:dyDescent="0.35">
      <c r="A177">
        <v>3</v>
      </c>
      <c r="B177">
        <v>3</v>
      </c>
      <c r="C177">
        <v>9</v>
      </c>
    </row>
    <row r="178" spans="1:3" ht="18" customHeight="1" x14ac:dyDescent="0.35">
      <c r="A178">
        <v>2</v>
      </c>
      <c r="B178">
        <v>2</v>
      </c>
      <c r="C178">
        <v>7</v>
      </c>
    </row>
    <row r="179" spans="1:3" ht="18" customHeight="1" x14ac:dyDescent="0.35">
      <c r="A179">
        <v>4</v>
      </c>
      <c r="B179">
        <v>4</v>
      </c>
      <c r="C179">
        <v>12</v>
      </c>
    </row>
    <row r="180" spans="1:3" ht="18" customHeight="1" x14ac:dyDescent="0.35">
      <c r="A180">
        <v>5</v>
      </c>
      <c r="B180">
        <v>5</v>
      </c>
      <c r="C180">
        <v>15</v>
      </c>
    </row>
    <row r="181" spans="1:3" ht="18" customHeight="1" x14ac:dyDescent="0.35">
      <c r="A181">
        <v>6</v>
      </c>
      <c r="B181">
        <v>6</v>
      </c>
      <c r="C181">
        <v>17</v>
      </c>
    </row>
    <row r="182" spans="1:3" ht="18" customHeight="1" x14ac:dyDescent="0.35">
      <c r="A182">
        <v>5.2</v>
      </c>
      <c r="B182">
        <f>COVAR(B177:B181, C177:C181)</f>
        <v>5.2</v>
      </c>
      <c r="C182" t="s">
        <v>130</v>
      </c>
    </row>
    <row r="184" spans="1:3" s="4" customFormat="1" ht="18" customHeight="1" x14ac:dyDescent="0.35">
      <c r="A184" s="4" t="s">
        <v>131</v>
      </c>
      <c r="B184" s="4" t="s">
        <v>131</v>
      </c>
      <c r="C184" s="4" t="s">
        <v>132</v>
      </c>
    </row>
    <row r="185" spans="1:3" ht="18" customHeight="1" x14ac:dyDescent="0.35">
      <c r="A185">
        <v>6</v>
      </c>
      <c r="B185">
        <v>6</v>
      </c>
      <c r="C185" t="s">
        <v>133</v>
      </c>
    </row>
    <row r="186" spans="1:3" ht="18" customHeight="1" x14ac:dyDescent="0.35">
      <c r="A186">
        <v>0.5</v>
      </c>
      <c r="B186">
        <v>0.5</v>
      </c>
      <c r="C186" t="s">
        <v>134</v>
      </c>
    </row>
    <row r="187" spans="1:3" ht="18" customHeight="1" x14ac:dyDescent="0.35">
      <c r="A187">
        <v>0.75</v>
      </c>
      <c r="B187">
        <v>0.75</v>
      </c>
      <c r="C187" t="s">
        <v>135</v>
      </c>
    </row>
    <row r="188" spans="1:3" ht="18" customHeight="1" x14ac:dyDescent="0.35">
      <c r="A188">
        <v>4</v>
      </c>
      <c r="B188">
        <f>CRITBINOM(B185,B186,B187)</f>
        <v>4</v>
      </c>
      <c r="C188" t="s">
        <v>136</v>
      </c>
    </row>
    <row r="190" spans="1:3" s="4" customFormat="1" ht="18" customHeight="1" x14ac:dyDescent="0.35">
      <c r="A190" s="4" t="s">
        <v>137</v>
      </c>
      <c r="B190" s="4" t="s">
        <v>137</v>
      </c>
      <c r="C190" s="4" t="s">
        <v>137</v>
      </c>
    </row>
    <row r="191" spans="1:3" ht="18" customHeight="1" x14ac:dyDescent="0.35">
      <c r="A191">
        <v>2008</v>
      </c>
      <c r="B191">
        <v>2008</v>
      </c>
    </row>
    <row r="192" spans="1:3" ht="18" customHeight="1" x14ac:dyDescent="0.35">
      <c r="A192">
        <v>1</v>
      </c>
      <c r="B192">
        <v>1</v>
      </c>
    </row>
    <row r="193" spans="1:3" ht="18" customHeight="1" x14ac:dyDescent="0.35">
      <c r="A193">
        <v>1</v>
      </c>
      <c r="B193">
        <v>1</v>
      </c>
    </row>
    <row r="194" spans="1:3" ht="18" customHeight="1" x14ac:dyDescent="0.35">
      <c r="A194">
        <v>39448</v>
      </c>
      <c r="B194">
        <f>DATE(B191,B192,B193)</f>
        <v>39448</v>
      </c>
      <c r="C194" t="s">
        <v>138</v>
      </c>
    </row>
    <row r="196" spans="1:3" s="4" customFormat="1" ht="18" customHeight="1" x14ac:dyDescent="0.35">
      <c r="A196" s="4" t="s">
        <v>139</v>
      </c>
      <c r="B196" s="4" t="s">
        <v>139</v>
      </c>
      <c r="C196" s="4" t="s">
        <v>139</v>
      </c>
    </row>
    <row r="197" spans="1:3" ht="18" customHeight="1" x14ac:dyDescent="0.35">
      <c r="A197">
        <v>39682</v>
      </c>
      <c r="B197">
        <f>DATEVALUE("8/22/2008")</f>
        <v>39682</v>
      </c>
      <c r="C197" t="s">
        <v>140</v>
      </c>
    </row>
    <row r="198" spans="1:3" ht="18" customHeight="1" x14ac:dyDescent="0.35">
      <c r="A198">
        <v>39682</v>
      </c>
      <c r="B198">
        <f>DATEVALUE("22-AUG-2008")</f>
        <v>39682</v>
      </c>
      <c r="C198" t="s">
        <v>140</v>
      </c>
    </row>
    <row r="199" spans="1:3" ht="18" customHeight="1" x14ac:dyDescent="0.35">
      <c r="A199">
        <v>39501</v>
      </c>
      <c r="B199">
        <f>DATEVALUE("2008/02/23")</f>
        <v>39501</v>
      </c>
      <c r="C199" t="s">
        <v>141</v>
      </c>
    </row>
    <row r="200" spans="1:3" ht="18" customHeight="1" x14ac:dyDescent="0.35">
      <c r="A200">
        <v>39634</v>
      </c>
      <c r="B200">
        <f>DATEVALUE("5-JUL-2008")</f>
        <v>39634</v>
      </c>
      <c r="C200" t="s">
        <v>142</v>
      </c>
    </row>
    <row r="202" spans="1:3" s="4" customFormat="1" ht="18" customHeight="1" x14ac:dyDescent="0.35">
      <c r="A202" s="4" t="s">
        <v>143</v>
      </c>
      <c r="B202" s="4" t="s">
        <v>143</v>
      </c>
      <c r="C202" s="4" t="s">
        <v>143</v>
      </c>
    </row>
    <row r="203" spans="1:3" ht="18" customHeight="1" x14ac:dyDescent="0.35">
      <c r="A203">
        <v>39553</v>
      </c>
      <c r="B203">
        <v>39553</v>
      </c>
    </row>
    <row r="204" spans="1:3" ht="18" customHeight="1" x14ac:dyDescent="0.35">
      <c r="A204">
        <v>15</v>
      </c>
      <c r="B204">
        <f>DAY(B203)</f>
        <v>15</v>
      </c>
      <c r="C204" t="s">
        <v>144</v>
      </c>
    </row>
    <row r="206" spans="1:3" s="4" customFormat="1" ht="18" customHeight="1" x14ac:dyDescent="0.35">
      <c r="A206" s="4" t="s">
        <v>145</v>
      </c>
      <c r="B206" s="4" t="s">
        <v>145</v>
      </c>
      <c r="C206" s="4" t="s">
        <v>146</v>
      </c>
    </row>
    <row r="207" spans="1:3" ht="18" customHeight="1" x14ac:dyDescent="0.35">
      <c r="A207">
        <v>39477</v>
      </c>
      <c r="B207">
        <v>39477</v>
      </c>
    </row>
    <row r="208" spans="1:3" ht="18" customHeight="1" x14ac:dyDescent="0.35">
      <c r="A208">
        <v>39479</v>
      </c>
      <c r="B208">
        <v>39479</v>
      </c>
    </row>
    <row r="209" spans="1:3" ht="18" customHeight="1" x14ac:dyDescent="0.35">
      <c r="A209">
        <v>1</v>
      </c>
      <c r="B209">
        <f>DAYS360(B207,B208)</f>
        <v>1</v>
      </c>
      <c r="C209" t="s">
        <v>147</v>
      </c>
    </row>
    <row r="211" spans="1:3" s="4" customFormat="1" ht="18" customHeight="1" x14ac:dyDescent="0.35">
      <c r="A211" s="4" t="s">
        <v>148</v>
      </c>
      <c r="B211" s="4" t="s">
        <v>148</v>
      </c>
      <c r="C211" s="4" t="s">
        <v>149</v>
      </c>
    </row>
    <row r="212" spans="1:3" ht="18" customHeight="1" x14ac:dyDescent="0.35">
      <c r="A212">
        <v>1000000</v>
      </c>
      <c r="B212">
        <v>1000000</v>
      </c>
      <c r="C212" t="s">
        <v>150</v>
      </c>
    </row>
    <row r="213" spans="1:3" ht="18" customHeight="1" x14ac:dyDescent="0.35">
      <c r="A213">
        <v>100000</v>
      </c>
      <c r="B213">
        <v>100000</v>
      </c>
      <c r="C213" t="s">
        <v>151</v>
      </c>
    </row>
    <row r="214" spans="1:3" ht="18" customHeight="1" x14ac:dyDescent="0.35">
      <c r="A214">
        <v>6</v>
      </c>
      <c r="B214">
        <v>6</v>
      </c>
      <c r="C214" t="s">
        <v>152</v>
      </c>
    </row>
    <row r="215" spans="1:3" ht="18" customHeight="1" x14ac:dyDescent="0.35">
      <c r="A215">
        <v>186083.33</v>
      </c>
      <c r="B215">
        <f>DB(B212,B213,B214,1,7)</f>
        <v>186083.33333333334</v>
      </c>
      <c r="C215" t="s">
        <v>153</v>
      </c>
    </row>
    <row r="216" spans="1:3" ht="18" customHeight="1" x14ac:dyDescent="0.35">
      <c r="A216">
        <v>259639.42</v>
      </c>
      <c r="B216">
        <f>DB(B212,B213,B214,2,7)</f>
        <v>259639.41666666666</v>
      </c>
      <c r="C216" t="s">
        <v>154</v>
      </c>
    </row>
    <row r="217" spans="1:3" ht="18" customHeight="1" x14ac:dyDescent="0.35">
      <c r="A217">
        <v>176814.44</v>
      </c>
      <c r="B217">
        <f>DB(B212,B213,B214,3,7)</f>
        <v>176814.44275000002</v>
      </c>
      <c r="C217" t="s">
        <v>155</v>
      </c>
    </row>
    <row r="218" spans="1:3" ht="18" customHeight="1" x14ac:dyDescent="0.35">
      <c r="A218">
        <v>120410.64</v>
      </c>
      <c r="B218">
        <f>DB(B212,B213,B214,4,7)</f>
        <v>120410.63551274998</v>
      </c>
      <c r="C218" t="s">
        <v>156</v>
      </c>
    </row>
    <row r="219" spans="1:3" ht="18" customHeight="1" x14ac:dyDescent="0.35">
      <c r="A219">
        <v>81999.64</v>
      </c>
      <c r="B219">
        <f>DB(B212,B213,B214,5,7)</f>
        <v>81999.642784182739</v>
      </c>
      <c r="C219" t="s">
        <v>157</v>
      </c>
    </row>
    <row r="220" spans="1:3" ht="18" customHeight="1" x14ac:dyDescent="0.35">
      <c r="A220">
        <v>55841.760000000002</v>
      </c>
      <c r="B220">
        <f>DB(B212,B213,B214,6,7)</f>
        <v>55841.756736028445</v>
      </c>
      <c r="C220" t="s">
        <v>158</v>
      </c>
    </row>
    <row r="221" spans="1:3" ht="18" customHeight="1" x14ac:dyDescent="0.35">
      <c r="A221">
        <v>15845.1</v>
      </c>
      <c r="B221">
        <f>DB(B212,B213,B214,7,7)</f>
        <v>15845.098473848073</v>
      </c>
      <c r="C221" t="s">
        <v>159</v>
      </c>
    </row>
    <row r="223" spans="1:3" s="4" customFormat="1" ht="18" customHeight="1" x14ac:dyDescent="0.35">
      <c r="A223" s="4" t="s">
        <v>160</v>
      </c>
      <c r="B223" s="4" t="s">
        <v>160</v>
      </c>
      <c r="C223" s="4" t="s">
        <v>161</v>
      </c>
    </row>
    <row r="224" spans="1:3" ht="18" customHeight="1" x14ac:dyDescent="0.35">
      <c r="A224">
        <v>2400</v>
      </c>
      <c r="B224">
        <v>2400</v>
      </c>
      <c r="C224" t="s">
        <v>150</v>
      </c>
    </row>
    <row r="225" spans="1:3" ht="18" customHeight="1" x14ac:dyDescent="0.35">
      <c r="A225">
        <v>300</v>
      </c>
      <c r="B225">
        <v>300</v>
      </c>
      <c r="C225" t="s">
        <v>151</v>
      </c>
    </row>
    <row r="226" spans="1:3" ht="18" customHeight="1" x14ac:dyDescent="0.35">
      <c r="A226">
        <v>10</v>
      </c>
      <c r="B226">
        <v>10</v>
      </c>
      <c r="C226" t="s">
        <v>152</v>
      </c>
    </row>
    <row r="227" spans="1:3" ht="18" customHeight="1" x14ac:dyDescent="0.35">
      <c r="A227">
        <v>1.3150684930000001</v>
      </c>
      <c r="B227">
        <f>DDB(B224,B225,B226*365,1)</f>
        <v>1.3150684931506849</v>
      </c>
      <c r="C227" t="s">
        <v>162</v>
      </c>
    </row>
    <row r="228" spans="1:3" ht="18" customHeight="1" x14ac:dyDescent="0.35">
      <c r="A228">
        <v>40</v>
      </c>
      <c r="B228">
        <f>DDB(B224,B225,B226*12,1,2)</f>
        <v>40</v>
      </c>
      <c r="C228" t="s">
        <v>163</v>
      </c>
    </row>
    <row r="229" spans="1:3" ht="18" customHeight="1" x14ac:dyDescent="0.35">
      <c r="A229">
        <v>480</v>
      </c>
      <c r="B229">
        <f>DDB(B224,B225,B226,1,2)</f>
        <v>480</v>
      </c>
      <c r="C229" t="s">
        <v>164</v>
      </c>
    </row>
    <row r="230" spans="1:3" ht="18" customHeight="1" x14ac:dyDescent="0.35">
      <c r="A230">
        <v>306</v>
      </c>
      <c r="B230">
        <f>DDB(B224,B225,B226,2,1.5)</f>
        <v>306</v>
      </c>
      <c r="C230" t="s">
        <v>165</v>
      </c>
    </row>
    <row r="231" spans="1:3" ht="18" customHeight="1" x14ac:dyDescent="0.35">
      <c r="A231">
        <v>22.1225472</v>
      </c>
      <c r="B231">
        <f>DDB(B224,B225,B226,10)</f>
        <v>22.12254720000027</v>
      </c>
      <c r="C231" t="s">
        <v>166</v>
      </c>
    </row>
    <row r="233" spans="1:3" s="4" customFormat="1" ht="18" customHeight="1" x14ac:dyDescent="0.35">
      <c r="A233" s="4" t="s">
        <v>167</v>
      </c>
      <c r="B233" s="4" t="s">
        <v>167</v>
      </c>
      <c r="C233" s="4" t="s">
        <v>167</v>
      </c>
    </row>
    <row r="234" spans="1:3" ht="18" customHeight="1" x14ac:dyDescent="0.35">
      <c r="A234">
        <v>180</v>
      </c>
      <c r="B234">
        <f>DEGREES(PI())</f>
        <v>180</v>
      </c>
      <c r="C234" t="s">
        <v>168</v>
      </c>
    </row>
    <row r="236" spans="1:3" s="4" customFormat="1" ht="18" customHeight="1" x14ac:dyDescent="0.35">
      <c r="A236" s="4" t="s">
        <v>169</v>
      </c>
      <c r="B236" s="4" t="s">
        <v>169</v>
      </c>
      <c r="C236" s="4" t="s">
        <v>170</v>
      </c>
    </row>
    <row r="237" spans="1:3" ht="18" customHeight="1" x14ac:dyDescent="0.35">
      <c r="A237">
        <v>4</v>
      </c>
      <c r="B237">
        <v>4</v>
      </c>
    </row>
    <row r="238" spans="1:3" ht="18" customHeight="1" x14ac:dyDescent="0.35">
      <c r="A238">
        <v>5</v>
      </c>
      <c r="B238">
        <v>5</v>
      </c>
    </row>
    <row r="239" spans="1:3" ht="18" customHeight="1" x14ac:dyDescent="0.35">
      <c r="A239">
        <v>8</v>
      </c>
      <c r="B239">
        <v>8</v>
      </c>
    </row>
    <row r="240" spans="1:3" ht="18" customHeight="1" x14ac:dyDescent="0.35">
      <c r="A240">
        <v>7</v>
      </c>
      <c r="B240">
        <v>7</v>
      </c>
    </row>
    <row r="241" spans="1:3" ht="18" customHeight="1" x14ac:dyDescent="0.35">
      <c r="A241">
        <v>11</v>
      </c>
      <c r="B241">
        <v>11</v>
      </c>
    </row>
    <row r="242" spans="1:3" ht="18" customHeight="1" x14ac:dyDescent="0.35">
      <c r="A242">
        <v>4</v>
      </c>
      <c r="B242">
        <v>4</v>
      </c>
    </row>
    <row r="243" spans="1:3" ht="18" customHeight="1" x14ac:dyDescent="0.35">
      <c r="A243">
        <v>3</v>
      </c>
      <c r="B243">
        <v>3</v>
      </c>
    </row>
    <row r="244" spans="1:3" ht="18" customHeight="1" x14ac:dyDescent="0.35">
      <c r="A244">
        <v>48</v>
      </c>
      <c r="B244">
        <f>DEVSQ(B237:B243)</f>
        <v>48</v>
      </c>
      <c r="C244" t="s">
        <v>171</v>
      </c>
    </row>
    <row r="246" spans="1:3" s="4" customFormat="1" ht="18" customHeight="1" x14ac:dyDescent="0.35">
      <c r="A246" s="4" t="s">
        <v>172</v>
      </c>
      <c r="B246" s="4" t="s">
        <v>172</v>
      </c>
      <c r="C246" s="4" t="s">
        <v>172</v>
      </c>
    </row>
    <row r="247" spans="1:3" ht="18" customHeight="1" x14ac:dyDescent="0.35">
      <c r="A247">
        <v>2</v>
      </c>
      <c r="B247">
        <f>EVEN(1.5)</f>
        <v>2</v>
      </c>
      <c r="C247" t="s">
        <v>173</v>
      </c>
    </row>
    <row r="248" spans="1:3" ht="18" customHeight="1" x14ac:dyDescent="0.35">
      <c r="A248">
        <v>4</v>
      </c>
      <c r="B248">
        <f>EVEN(3)</f>
        <v>4</v>
      </c>
      <c r="C248" t="s">
        <v>174</v>
      </c>
    </row>
    <row r="249" spans="1:3" ht="18" customHeight="1" x14ac:dyDescent="0.35">
      <c r="A249">
        <v>2</v>
      </c>
      <c r="B249">
        <f>EVEN(2)</f>
        <v>2</v>
      </c>
      <c r="C249" t="s">
        <v>175</v>
      </c>
    </row>
    <row r="250" spans="1:3" ht="18" customHeight="1" x14ac:dyDescent="0.35">
      <c r="A250">
        <v>-2</v>
      </c>
      <c r="B250">
        <f>EVEN(-1)</f>
        <v>-2</v>
      </c>
      <c r="C250" t="s">
        <v>176</v>
      </c>
    </row>
    <row r="252" spans="1:3" s="4" customFormat="1" ht="18" customHeight="1" x14ac:dyDescent="0.35">
      <c r="A252" s="4" t="s">
        <v>177</v>
      </c>
      <c r="B252" s="4" t="s">
        <v>177</v>
      </c>
      <c r="C252" s="4" t="s">
        <v>178</v>
      </c>
    </row>
    <row r="253" spans="1:3" ht="18" customHeight="1" x14ac:dyDescent="0.35">
      <c r="A253">
        <v>2.7182818279999998</v>
      </c>
      <c r="B253">
        <f>EXP(1)</f>
        <v>2.7182818284590451</v>
      </c>
      <c r="C253" t="s">
        <v>179</v>
      </c>
    </row>
    <row r="254" spans="1:3" ht="18" customHeight="1" x14ac:dyDescent="0.35">
      <c r="A254">
        <v>7.3890560990000003</v>
      </c>
      <c r="B254">
        <f>EXP(2)</f>
        <v>7.3890560989306504</v>
      </c>
      <c r="C254" t="s">
        <v>180</v>
      </c>
    </row>
    <row r="256" spans="1:3" s="4" customFormat="1" ht="18" customHeight="1" x14ac:dyDescent="0.35">
      <c r="A256" s="4" t="s">
        <v>181</v>
      </c>
      <c r="B256" s="4" t="s">
        <v>181</v>
      </c>
      <c r="C256" s="4" t="s">
        <v>182</v>
      </c>
    </row>
    <row r="257" spans="1:3" ht="18" customHeight="1" x14ac:dyDescent="0.35">
      <c r="A257">
        <v>0.2</v>
      </c>
      <c r="B257">
        <v>0.2</v>
      </c>
      <c r="C257" t="s">
        <v>183</v>
      </c>
    </row>
    <row r="258" spans="1:3" ht="18" customHeight="1" x14ac:dyDescent="0.35">
      <c r="A258">
        <v>10</v>
      </c>
      <c r="B258">
        <v>10</v>
      </c>
      <c r="C258" t="s">
        <v>184</v>
      </c>
    </row>
    <row r="259" spans="1:3" ht="18" customHeight="1" x14ac:dyDescent="0.35">
      <c r="A259">
        <v>0.86466471700000003</v>
      </c>
      <c r="B259">
        <f>EXPONDIST(B257,B258,TRUE)</f>
        <v>0.8646647167633873</v>
      </c>
      <c r="C259" t="s">
        <v>185</v>
      </c>
    </row>
    <row r="260" spans="1:3" ht="18" customHeight="1" x14ac:dyDescent="0.35">
      <c r="A260">
        <v>1.3533528319999999</v>
      </c>
      <c r="B260">
        <f>EXPONDIST(0.2,10,FALSE)</f>
        <v>1.353352832366127</v>
      </c>
      <c r="C260" t="s">
        <v>186</v>
      </c>
    </row>
    <row r="262" spans="1:3" s="4" customFormat="1" ht="18" customHeight="1" x14ac:dyDescent="0.35">
      <c r="A262" s="4" t="s">
        <v>187</v>
      </c>
      <c r="B262" s="4" t="s">
        <v>187</v>
      </c>
      <c r="C262" s="4" t="s">
        <v>188</v>
      </c>
    </row>
    <row r="263" spans="1:3" ht="18" customHeight="1" x14ac:dyDescent="0.35">
      <c r="A263">
        <v>120</v>
      </c>
      <c r="B263">
        <f>FACT(5)</f>
        <v>120</v>
      </c>
      <c r="C263" t="s">
        <v>189</v>
      </c>
    </row>
    <row r="264" spans="1:3" ht="18" customHeight="1" x14ac:dyDescent="0.35">
      <c r="A264">
        <v>1</v>
      </c>
      <c r="B264">
        <f>FACT(1.9)</f>
        <v>1</v>
      </c>
      <c r="C264" t="s">
        <v>190</v>
      </c>
    </row>
    <row r="265" spans="1:3" ht="18" customHeight="1" x14ac:dyDescent="0.35">
      <c r="A265">
        <v>1</v>
      </c>
      <c r="B265">
        <f>FACT(0)</f>
        <v>1</v>
      </c>
      <c r="C265" t="s">
        <v>191</v>
      </c>
    </row>
    <row r="266" spans="1:3" ht="18" customHeight="1" x14ac:dyDescent="0.35">
      <c r="A266" t="e">
        <v>#NUM!</v>
      </c>
      <c r="B266" t="e">
        <f>FACT(-1)</f>
        <v>#NUM!</v>
      </c>
      <c r="C266" t="s">
        <v>192</v>
      </c>
    </row>
    <row r="267" spans="1:3" ht="18" customHeight="1" x14ac:dyDescent="0.35">
      <c r="A267">
        <v>1</v>
      </c>
      <c r="B267">
        <f>FACT(1)</f>
        <v>1</v>
      </c>
      <c r="C267" t="s">
        <v>193</v>
      </c>
    </row>
    <row r="269" spans="1:3" s="4" customFormat="1" ht="18" customHeight="1" x14ac:dyDescent="0.35">
      <c r="A269" s="4" t="s">
        <v>194</v>
      </c>
      <c r="B269" s="4" t="s">
        <v>194</v>
      </c>
      <c r="C269" s="4" t="s">
        <v>195</v>
      </c>
    </row>
    <row r="270" spans="1:3" ht="18" customHeight="1" x14ac:dyDescent="0.35">
      <c r="A270">
        <v>15.20675</v>
      </c>
      <c r="B270">
        <v>15.20675</v>
      </c>
      <c r="C270" t="s">
        <v>196</v>
      </c>
    </row>
    <row r="271" spans="1:3" ht="18" customHeight="1" x14ac:dyDescent="0.35">
      <c r="A271">
        <v>6</v>
      </c>
      <c r="B271">
        <v>6</v>
      </c>
      <c r="C271" t="s">
        <v>197</v>
      </c>
    </row>
    <row r="272" spans="1:3" ht="18" customHeight="1" x14ac:dyDescent="0.35">
      <c r="A272">
        <v>4</v>
      </c>
      <c r="B272">
        <v>4</v>
      </c>
      <c r="C272" t="s">
        <v>198</v>
      </c>
    </row>
    <row r="273" spans="1:3" ht="18" customHeight="1" x14ac:dyDescent="0.35">
      <c r="A273">
        <v>1.0000141000000001E-2</v>
      </c>
      <c r="B273">
        <f>FDIST(B270,B271,B272)</f>
        <v>1.0000140568519608E-2</v>
      </c>
      <c r="C273" t="s">
        <v>199</v>
      </c>
    </row>
    <row r="275" spans="1:3" s="4" customFormat="1" ht="18" customHeight="1" x14ac:dyDescent="0.35">
      <c r="A275" s="4" t="s">
        <v>200</v>
      </c>
      <c r="B275" s="4" t="s">
        <v>200</v>
      </c>
      <c r="C275" s="4" t="s">
        <v>201</v>
      </c>
    </row>
    <row r="276" spans="1:3" ht="18" customHeight="1" x14ac:dyDescent="0.35">
      <c r="A276">
        <v>0.01</v>
      </c>
      <c r="B276">
        <v>0.01</v>
      </c>
      <c r="C276" t="s">
        <v>202</v>
      </c>
    </row>
    <row r="277" spans="1:3" ht="18" customHeight="1" x14ac:dyDescent="0.35">
      <c r="A277">
        <v>6</v>
      </c>
      <c r="B277">
        <v>6</v>
      </c>
      <c r="C277" t="s">
        <v>197</v>
      </c>
    </row>
    <row r="278" spans="1:3" ht="18" customHeight="1" x14ac:dyDescent="0.35">
      <c r="A278">
        <v>4</v>
      </c>
      <c r="B278">
        <v>4</v>
      </c>
      <c r="C278" t="s">
        <v>198</v>
      </c>
    </row>
    <row r="279" spans="1:3" ht="18" customHeight="1" x14ac:dyDescent="0.35">
      <c r="A279">
        <v>15.20686486</v>
      </c>
      <c r="B279">
        <f>FINV(B276,B277,B278)</f>
        <v>15.206864861157531</v>
      </c>
      <c r="C279" t="s">
        <v>203</v>
      </c>
    </row>
    <row r="281" spans="1:3" s="4" customFormat="1" ht="18" customHeight="1" x14ac:dyDescent="0.35">
      <c r="A281" s="4" t="s">
        <v>204</v>
      </c>
      <c r="B281" s="4" t="s">
        <v>204</v>
      </c>
      <c r="C281" s="4" t="s">
        <v>205</v>
      </c>
    </row>
    <row r="282" spans="1:3" ht="18" customHeight="1" x14ac:dyDescent="0.35">
      <c r="A282">
        <v>0.972955075</v>
      </c>
      <c r="B282">
        <f>FISHER(0.75)</f>
        <v>0.97295507452765662</v>
      </c>
      <c r="C282" t="s">
        <v>206</v>
      </c>
    </row>
    <row r="284" spans="1:3" s="4" customFormat="1" ht="18" customHeight="1" x14ac:dyDescent="0.35">
      <c r="A284" s="4" t="s">
        <v>207</v>
      </c>
      <c r="B284" s="4" t="s">
        <v>207</v>
      </c>
      <c r="C284" s="4" t="s">
        <v>208</v>
      </c>
    </row>
    <row r="285" spans="1:3" ht="18" customHeight="1" x14ac:dyDescent="0.35">
      <c r="A285">
        <v>0.74999996700000005</v>
      </c>
      <c r="B285">
        <f>FISHERINV(0.972955)</f>
        <v>0.74999996739414843</v>
      </c>
      <c r="C285" t="s">
        <v>209</v>
      </c>
    </row>
    <row r="287" spans="1:3" s="4" customFormat="1" ht="18" customHeight="1" x14ac:dyDescent="0.35">
      <c r="A287" s="4" t="s">
        <v>210</v>
      </c>
      <c r="B287" s="4" t="s">
        <v>210</v>
      </c>
      <c r="C287" s="4" t="s">
        <v>210</v>
      </c>
    </row>
    <row r="288" spans="1:3" ht="18" customHeight="1" x14ac:dyDescent="0.35">
      <c r="A288">
        <v>2</v>
      </c>
      <c r="B288">
        <f>FLOOR(2.5, 1)</f>
        <v>2</v>
      </c>
      <c r="C288" t="s">
        <v>211</v>
      </c>
    </row>
    <row r="289" spans="1:3" ht="18" customHeight="1" x14ac:dyDescent="0.35">
      <c r="A289">
        <v>-2</v>
      </c>
      <c r="B289">
        <f>FLOOR(-2.5, -2)</f>
        <v>-2</v>
      </c>
      <c r="C289" t="s">
        <v>212</v>
      </c>
    </row>
    <row r="290" spans="1:3" ht="18" customHeight="1" x14ac:dyDescent="0.35">
      <c r="A290" t="e">
        <v>#NUM!</v>
      </c>
      <c r="B290">
        <f>FLOOR(-2.5, 2)</f>
        <v>-4</v>
      </c>
      <c r="C290" t="s">
        <v>64</v>
      </c>
    </row>
    <row r="291" spans="1:3" ht="18" customHeight="1" x14ac:dyDescent="0.35">
      <c r="A291">
        <v>1.5</v>
      </c>
      <c r="B291">
        <f>FLOOR(1.5, 0.1)</f>
        <v>1.5</v>
      </c>
      <c r="C291" t="s">
        <v>213</v>
      </c>
    </row>
    <row r="292" spans="1:3" ht="18" customHeight="1" x14ac:dyDescent="0.35">
      <c r="A292">
        <v>0.23</v>
      </c>
      <c r="B292">
        <f>FLOOR(0.234, 0.01)</f>
        <v>0.23</v>
      </c>
      <c r="C292" t="s">
        <v>214</v>
      </c>
    </row>
    <row r="294" spans="1:3" s="4" customFormat="1" ht="18" customHeight="1" x14ac:dyDescent="0.35">
      <c r="A294" s="4" t="s">
        <v>215</v>
      </c>
      <c r="B294" s="4" t="s">
        <v>215</v>
      </c>
      <c r="C294" s="4" t="s">
        <v>215</v>
      </c>
    </row>
    <row r="295" spans="1:3" ht="18" customHeight="1" x14ac:dyDescent="0.35">
      <c r="A295">
        <v>6</v>
      </c>
      <c r="B295">
        <v>6</v>
      </c>
      <c r="C295">
        <v>20</v>
      </c>
    </row>
    <row r="296" spans="1:3" ht="18" customHeight="1" x14ac:dyDescent="0.35">
      <c r="A296">
        <v>7</v>
      </c>
      <c r="B296">
        <v>7</v>
      </c>
      <c r="C296">
        <v>28</v>
      </c>
    </row>
    <row r="297" spans="1:3" ht="18" customHeight="1" x14ac:dyDescent="0.35">
      <c r="A297">
        <v>9</v>
      </c>
      <c r="B297">
        <v>9</v>
      </c>
      <c r="C297">
        <v>31</v>
      </c>
    </row>
    <row r="298" spans="1:3" ht="18" customHeight="1" x14ac:dyDescent="0.35">
      <c r="A298">
        <v>15</v>
      </c>
      <c r="B298">
        <v>15</v>
      </c>
      <c r="C298">
        <v>38</v>
      </c>
    </row>
    <row r="299" spans="1:3" ht="18" customHeight="1" x14ac:dyDescent="0.35">
      <c r="A299">
        <v>21</v>
      </c>
      <c r="B299">
        <v>21</v>
      </c>
      <c r="C299">
        <v>40</v>
      </c>
    </row>
    <row r="300" spans="1:3" ht="18" customHeight="1" x14ac:dyDescent="0.35">
      <c r="A300">
        <v>10.60725309</v>
      </c>
      <c r="B300">
        <f>FORECAST(30,B295:B299,C295:C299)</f>
        <v>10.607253086419755</v>
      </c>
      <c r="C300" t="s">
        <v>216</v>
      </c>
    </row>
    <row r="302" spans="1:3" s="4" customFormat="1" ht="18" customHeight="1" x14ac:dyDescent="0.35">
      <c r="A302" s="4" t="s">
        <v>217</v>
      </c>
      <c r="B302" s="4" t="s">
        <v>217</v>
      </c>
      <c r="C302" s="4" t="s">
        <v>218</v>
      </c>
    </row>
    <row r="303" spans="1:3" ht="18" customHeight="1" x14ac:dyDescent="0.35">
      <c r="A303">
        <v>0.06</v>
      </c>
      <c r="B303">
        <v>0.06</v>
      </c>
      <c r="C303" t="s">
        <v>219</v>
      </c>
    </row>
    <row r="304" spans="1:3" ht="18" customHeight="1" x14ac:dyDescent="0.35">
      <c r="A304">
        <v>10</v>
      </c>
      <c r="B304">
        <v>10</v>
      </c>
      <c r="C304" t="s">
        <v>220</v>
      </c>
    </row>
    <row r="305" spans="1:3" ht="18" customHeight="1" x14ac:dyDescent="0.35">
      <c r="A305">
        <v>-200</v>
      </c>
      <c r="B305">
        <v>-200</v>
      </c>
      <c r="C305" t="s">
        <v>221</v>
      </c>
    </row>
    <row r="306" spans="1:3" ht="18" customHeight="1" x14ac:dyDescent="0.35">
      <c r="A306">
        <v>-500</v>
      </c>
      <c r="B306">
        <v>-500</v>
      </c>
      <c r="C306" t="s">
        <v>222</v>
      </c>
    </row>
    <row r="307" spans="1:3" ht="18" customHeight="1" x14ac:dyDescent="0.35">
      <c r="A307">
        <v>1</v>
      </c>
      <c r="B307">
        <v>1</v>
      </c>
      <c r="C307" t="s">
        <v>223</v>
      </c>
    </row>
    <row r="308" spans="1:3" ht="18" customHeight="1" x14ac:dyDescent="0.35">
      <c r="A308">
        <v>2581.4033740599998</v>
      </c>
      <c r="B308">
        <f>FV(B303/12, B304, B305, B306, B307)</f>
        <v>2581.4033740601185</v>
      </c>
      <c r="C308" t="s">
        <v>224</v>
      </c>
    </row>
    <row r="310" spans="1:3" ht="18" customHeight="1" x14ac:dyDescent="0.35">
      <c r="A310">
        <v>0.12</v>
      </c>
      <c r="B310">
        <v>0.12</v>
      </c>
      <c r="C310" t="s">
        <v>219</v>
      </c>
    </row>
    <row r="311" spans="1:3" ht="18" customHeight="1" x14ac:dyDescent="0.35">
      <c r="A311">
        <v>12</v>
      </c>
      <c r="B311">
        <v>12</v>
      </c>
      <c r="C311" t="s">
        <v>220</v>
      </c>
    </row>
    <row r="312" spans="1:3" ht="18" customHeight="1" x14ac:dyDescent="0.35">
      <c r="A312">
        <v>-1000</v>
      </c>
      <c r="B312">
        <v>-1000</v>
      </c>
      <c r="C312" t="s">
        <v>221</v>
      </c>
    </row>
    <row r="313" spans="1:3" ht="18" customHeight="1" x14ac:dyDescent="0.35">
      <c r="A313">
        <v>12682.503013197</v>
      </c>
      <c r="B313">
        <f>FV(B310/12, B311, B312)</f>
        <v>12682.503013196976</v>
      </c>
      <c r="C313" t="s">
        <v>225</v>
      </c>
    </row>
    <row r="315" spans="1:3" ht="18" customHeight="1" x14ac:dyDescent="0.35">
      <c r="A315">
        <v>0.11</v>
      </c>
      <c r="B315">
        <v>0.11</v>
      </c>
      <c r="C315" t="s">
        <v>219</v>
      </c>
    </row>
    <row r="316" spans="1:3" ht="18" customHeight="1" x14ac:dyDescent="0.35">
      <c r="A316">
        <v>35</v>
      </c>
      <c r="B316">
        <v>35</v>
      </c>
      <c r="C316" t="s">
        <v>220</v>
      </c>
    </row>
    <row r="317" spans="1:3" ht="18" customHeight="1" x14ac:dyDescent="0.35">
      <c r="A317">
        <v>-2000</v>
      </c>
      <c r="B317">
        <v>-2000</v>
      </c>
      <c r="C317" t="s">
        <v>221</v>
      </c>
    </row>
    <row r="318" spans="1:3" ht="18" customHeight="1" x14ac:dyDescent="0.35">
      <c r="A318">
        <v>1</v>
      </c>
      <c r="B318">
        <v>1</v>
      </c>
      <c r="C318" t="s">
        <v>226</v>
      </c>
    </row>
    <row r="319" spans="1:3" ht="18" customHeight="1" x14ac:dyDescent="0.35">
      <c r="A319">
        <v>82846.246371900997</v>
      </c>
      <c r="B319">
        <f>FV(B315/12, B316, B317,, B318)</f>
        <v>82846.246371900546</v>
      </c>
      <c r="C319" t="s">
        <v>227</v>
      </c>
    </row>
    <row r="321" spans="1:3" ht="18" customHeight="1" x14ac:dyDescent="0.35">
      <c r="A321">
        <v>0.06</v>
      </c>
      <c r="B321">
        <v>0.06</v>
      </c>
      <c r="C321" t="s">
        <v>219</v>
      </c>
    </row>
    <row r="322" spans="1:3" ht="18" customHeight="1" x14ac:dyDescent="0.35">
      <c r="A322">
        <v>12</v>
      </c>
      <c r="B322">
        <v>12</v>
      </c>
      <c r="C322" t="s">
        <v>220</v>
      </c>
    </row>
    <row r="323" spans="1:3" ht="18" customHeight="1" x14ac:dyDescent="0.35">
      <c r="A323">
        <v>-100</v>
      </c>
      <c r="B323">
        <v>-100</v>
      </c>
      <c r="C323" t="s">
        <v>221</v>
      </c>
    </row>
    <row r="324" spans="1:3" ht="18" customHeight="1" x14ac:dyDescent="0.35">
      <c r="A324">
        <v>-1000</v>
      </c>
      <c r="B324">
        <v>-1000</v>
      </c>
      <c r="C324" t="s">
        <v>222</v>
      </c>
    </row>
    <row r="325" spans="1:3" ht="18" customHeight="1" x14ac:dyDescent="0.35">
      <c r="A325">
        <v>1</v>
      </c>
      <c r="B325">
        <v>1</v>
      </c>
      <c r="C325" t="s">
        <v>226</v>
      </c>
    </row>
    <row r="326" spans="1:3" ht="18" customHeight="1" x14ac:dyDescent="0.35">
      <c r="A326">
        <v>2301.4018303409998</v>
      </c>
      <c r="B326">
        <f>FV(B321/12, B322, B323, B324, B325)</f>
        <v>2301.4018303408993</v>
      </c>
      <c r="C326" t="s">
        <v>228</v>
      </c>
    </row>
    <row r="328" spans="1:3" s="4" customFormat="1" ht="18" customHeight="1" x14ac:dyDescent="0.35">
      <c r="A328" s="4" t="s">
        <v>229</v>
      </c>
      <c r="B328" s="4" t="s">
        <v>229</v>
      </c>
      <c r="C328" s="4" t="s">
        <v>230</v>
      </c>
    </row>
    <row r="329" spans="1:3" ht="18" customHeight="1" x14ac:dyDescent="0.35">
      <c r="A329">
        <v>10</v>
      </c>
      <c r="B329">
        <v>10</v>
      </c>
      <c r="C329" t="s">
        <v>69</v>
      </c>
    </row>
    <row r="330" spans="1:3" ht="18" customHeight="1" x14ac:dyDescent="0.35">
      <c r="A330">
        <v>9</v>
      </c>
      <c r="B330">
        <v>9</v>
      </c>
      <c r="C330" t="s">
        <v>231</v>
      </c>
    </row>
    <row r="331" spans="1:3" ht="18" customHeight="1" x14ac:dyDescent="0.35">
      <c r="A331">
        <v>2</v>
      </c>
      <c r="B331">
        <v>2</v>
      </c>
      <c r="C331" t="s">
        <v>232</v>
      </c>
    </row>
    <row r="332" spans="1:3" ht="18" customHeight="1" x14ac:dyDescent="0.35">
      <c r="A332">
        <v>3.2639019999999998E-2</v>
      </c>
      <c r="B332">
        <f>GAMMADIST(B329,B330,B331,FALSE)</f>
        <v>3.2639019674079374E-2</v>
      </c>
      <c r="C332" t="s">
        <v>233</v>
      </c>
    </row>
    <row r="333" spans="1:3" ht="18" customHeight="1" x14ac:dyDescent="0.35">
      <c r="A333">
        <v>6.8093631000000002E-2</v>
      </c>
      <c r="B333">
        <f>GAMMADIST(B329,B330,B331,TRUE)</f>
        <v>6.8093634721848553E-2</v>
      </c>
      <c r="C333" t="s">
        <v>234</v>
      </c>
    </row>
    <row r="335" spans="1:3" s="4" customFormat="1" ht="18" customHeight="1" x14ac:dyDescent="0.35">
      <c r="A335" s="4" t="s">
        <v>235</v>
      </c>
      <c r="B335" s="4" t="s">
        <v>235</v>
      </c>
      <c r="C335" s="4" t="s">
        <v>236</v>
      </c>
    </row>
    <row r="336" spans="1:3" ht="18" customHeight="1" x14ac:dyDescent="0.35">
      <c r="A336">
        <v>6.8094000000000002E-2</v>
      </c>
      <c r="B336">
        <v>6.8094000000000002E-2</v>
      </c>
      <c r="C336" t="s">
        <v>237</v>
      </c>
    </row>
    <row r="337" spans="1:3" ht="18" customHeight="1" x14ac:dyDescent="0.35">
      <c r="A337">
        <v>9</v>
      </c>
      <c r="B337">
        <v>9</v>
      </c>
      <c r="C337" t="s">
        <v>231</v>
      </c>
    </row>
    <row r="338" spans="1:3" ht="18" customHeight="1" x14ac:dyDescent="0.35">
      <c r="A338">
        <v>2</v>
      </c>
      <c r="B338">
        <v>2</v>
      </c>
      <c r="C338" t="s">
        <v>232</v>
      </c>
    </row>
    <row r="339" spans="1:3" ht="18" customHeight="1" x14ac:dyDescent="0.35">
      <c r="A339">
        <v>10.00001131</v>
      </c>
      <c r="B339">
        <f>GAMMAINV(B336,B337,B338)</f>
        <v>10.00001119143718</v>
      </c>
      <c r="C339" t="s">
        <v>238</v>
      </c>
    </row>
    <row r="341" spans="1:3" s="4" customFormat="1" ht="18" customHeight="1" x14ac:dyDescent="0.35">
      <c r="A341" s="4" t="s">
        <v>239</v>
      </c>
      <c r="B341" s="4" t="s">
        <v>239</v>
      </c>
      <c r="C341" s="4" t="s">
        <v>240</v>
      </c>
    </row>
    <row r="342" spans="1:3" ht="18" customHeight="1" x14ac:dyDescent="0.35">
      <c r="A342">
        <v>1.791759469</v>
      </c>
      <c r="B342">
        <f>GAMMALN(4)</f>
        <v>1.791759469228055</v>
      </c>
      <c r="C342" t="s">
        <v>241</v>
      </c>
    </row>
    <row r="344" spans="1:3" s="4" customFormat="1" ht="18" customHeight="1" x14ac:dyDescent="0.35">
      <c r="A344" s="4" t="s">
        <v>242</v>
      </c>
      <c r="B344" s="4" t="s">
        <v>242</v>
      </c>
      <c r="C344" s="4" t="s">
        <v>243</v>
      </c>
    </row>
    <row r="345" spans="1:3" ht="18" customHeight="1" x14ac:dyDescent="0.35">
      <c r="A345">
        <v>4</v>
      </c>
      <c r="B345">
        <v>4</v>
      </c>
    </row>
    <row r="346" spans="1:3" ht="18" customHeight="1" x14ac:dyDescent="0.35">
      <c r="A346">
        <v>5</v>
      </c>
      <c r="B346">
        <v>5</v>
      </c>
    </row>
    <row r="347" spans="1:3" ht="18" customHeight="1" x14ac:dyDescent="0.35">
      <c r="A347">
        <v>8</v>
      </c>
      <c r="B347">
        <v>8</v>
      </c>
    </row>
    <row r="348" spans="1:3" ht="18" customHeight="1" x14ac:dyDescent="0.35">
      <c r="A348">
        <v>7</v>
      </c>
      <c r="B348">
        <v>7</v>
      </c>
    </row>
    <row r="349" spans="1:3" ht="18" customHeight="1" x14ac:dyDescent="0.35">
      <c r="A349">
        <v>11</v>
      </c>
      <c r="B349">
        <v>11</v>
      </c>
    </row>
    <row r="350" spans="1:3" ht="18" customHeight="1" x14ac:dyDescent="0.35">
      <c r="A350">
        <v>4</v>
      </c>
      <c r="B350">
        <v>4</v>
      </c>
    </row>
    <row r="351" spans="1:3" ht="18" customHeight="1" x14ac:dyDescent="0.35">
      <c r="A351">
        <v>3</v>
      </c>
      <c r="B351">
        <v>3</v>
      </c>
    </row>
    <row r="352" spans="1:3" ht="18" customHeight="1" x14ac:dyDescent="0.35">
      <c r="A352">
        <v>5.4769869699999996</v>
      </c>
      <c r="B352">
        <f>GEOMEAN(B345:B351)</f>
        <v>5.4769869696569629</v>
      </c>
      <c r="C352" t="s">
        <v>244</v>
      </c>
    </row>
    <row r="354" spans="1:4" s="4" customFormat="1" ht="18" customHeight="1" x14ac:dyDescent="0.35">
      <c r="A354" s="4" t="s">
        <v>245</v>
      </c>
      <c r="B354" s="4" t="s">
        <v>245</v>
      </c>
      <c r="C354" s="4" t="s">
        <v>246</v>
      </c>
    </row>
    <row r="355" spans="1:4" ht="18" customHeight="1" x14ac:dyDescent="0.35">
      <c r="A355">
        <v>5.0283759620000001</v>
      </c>
      <c r="B355">
        <f>HARMEAN(B345:B351)</f>
        <v>5.0283759620617277</v>
      </c>
      <c r="C355" t="s">
        <v>247</v>
      </c>
    </row>
    <row r="357" spans="1:4" s="4" customFormat="1" ht="18" customHeight="1" x14ac:dyDescent="0.35">
      <c r="A357" s="4" t="s">
        <v>248</v>
      </c>
      <c r="B357" s="4" t="s">
        <v>248</v>
      </c>
      <c r="C357" s="4" t="s">
        <v>249</v>
      </c>
    </row>
    <row r="358" spans="1:4" ht="18" customHeight="1" x14ac:dyDescent="0.35">
      <c r="A358" t="s">
        <v>250</v>
      </c>
      <c r="B358" t="s">
        <v>250</v>
      </c>
      <c r="C358" t="s">
        <v>251</v>
      </c>
      <c r="D358" t="s">
        <v>252</v>
      </c>
    </row>
    <row r="359" spans="1:4" ht="18" customHeight="1" x14ac:dyDescent="0.35">
      <c r="A359">
        <v>4</v>
      </c>
      <c r="B359">
        <v>4</v>
      </c>
      <c r="C359">
        <v>4</v>
      </c>
      <c r="D359">
        <v>9</v>
      </c>
    </row>
    <row r="360" spans="1:4" ht="18" customHeight="1" x14ac:dyDescent="0.35">
      <c r="A360">
        <v>5</v>
      </c>
      <c r="B360">
        <v>5</v>
      </c>
      <c r="C360">
        <v>7</v>
      </c>
      <c r="D360">
        <v>10</v>
      </c>
    </row>
    <row r="361" spans="1:4" ht="18" customHeight="1" x14ac:dyDescent="0.35">
      <c r="A361">
        <v>6</v>
      </c>
      <c r="B361">
        <v>6</v>
      </c>
      <c r="C361">
        <v>8</v>
      </c>
      <c r="D361">
        <v>11</v>
      </c>
    </row>
    <row r="362" spans="1:4" ht="18" customHeight="1" x14ac:dyDescent="0.35">
      <c r="A362">
        <v>4</v>
      </c>
      <c r="B362">
        <f>HLOOKUP("Axles",B358:D361,2,TRUE)</f>
        <v>4</v>
      </c>
      <c r="C362" t="s">
        <v>253</v>
      </c>
    </row>
    <row r="363" spans="1:4" ht="18" customHeight="1" x14ac:dyDescent="0.35">
      <c r="A363">
        <v>7</v>
      </c>
      <c r="B363">
        <f>HLOOKUP("Bearings",B358:D361,3,FALSE)</f>
        <v>7</v>
      </c>
      <c r="C363" t="s">
        <v>254</v>
      </c>
    </row>
    <row r="364" spans="1:4" ht="18" customHeight="1" x14ac:dyDescent="0.35">
      <c r="A364">
        <v>5</v>
      </c>
      <c r="B364">
        <f>HLOOKUP("B",B358:D361,3,TRUE)</f>
        <v>5</v>
      </c>
      <c r="C364" t="s">
        <v>255</v>
      </c>
    </row>
    <row r="365" spans="1:4" ht="18" customHeight="1" x14ac:dyDescent="0.35">
      <c r="A365">
        <v>11</v>
      </c>
      <c r="B365">
        <f>HLOOKUP("Bolts",B358:D361,4)</f>
        <v>11</v>
      </c>
      <c r="C365" t="s">
        <v>256</v>
      </c>
    </row>
    <row r="367" spans="1:4" s="4" customFormat="1" ht="18" customHeight="1" x14ac:dyDescent="0.35">
      <c r="A367" s="4" t="s">
        <v>257</v>
      </c>
      <c r="B367" s="4" t="s">
        <v>257</v>
      </c>
      <c r="C367" s="4" t="s">
        <v>257</v>
      </c>
    </row>
    <row r="368" spans="1:4" ht="18" customHeight="1" x14ac:dyDescent="0.35">
      <c r="A368">
        <v>0.14618055555555601</v>
      </c>
      <c r="B368">
        <v>0.14618055555555601</v>
      </c>
    </row>
    <row r="369" spans="1:3" ht="18" customHeight="1" x14ac:dyDescent="0.35">
      <c r="A369">
        <v>0.64618055555555598</v>
      </c>
      <c r="B369">
        <v>0.64618055555555598</v>
      </c>
    </row>
    <row r="370" spans="1:3" ht="18" customHeight="1" x14ac:dyDescent="0.35">
      <c r="A370">
        <v>0.64583333333333304</v>
      </c>
      <c r="B370">
        <v>0.64583333333333304</v>
      </c>
    </row>
    <row r="371" spans="1:3" ht="18" customHeight="1" x14ac:dyDescent="0.35">
      <c r="A371">
        <v>3</v>
      </c>
      <c r="B371">
        <f>HOUR(B368)</f>
        <v>3</v>
      </c>
      <c r="C371" t="s">
        <v>258</v>
      </c>
    </row>
    <row r="372" spans="1:3" ht="18" customHeight="1" x14ac:dyDescent="0.35">
      <c r="A372">
        <v>15</v>
      </c>
      <c r="B372">
        <f>HOUR(B369)</f>
        <v>15</v>
      </c>
      <c r="C372" t="s">
        <v>259</v>
      </c>
    </row>
    <row r="373" spans="1:3" ht="18" customHeight="1" x14ac:dyDescent="0.35">
      <c r="A373">
        <v>15</v>
      </c>
      <c r="B373">
        <f>HOUR(B370)</f>
        <v>15</v>
      </c>
      <c r="C373" t="s">
        <v>260</v>
      </c>
    </row>
    <row r="375" spans="1:3" s="4" customFormat="1" ht="18" customHeight="1" x14ac:dyDescent="0.35">
      <c r="A375" s="4" t="s">
        <v>261</v>
      </c>
      <c r="B375" s="4" t="s">
        <v>261</v>
      </c>
      <c r="C375" s="4" t="s">
        <v>262</v>
      </c>
    </row>
    <row r="376" spans="1:3" ht="18" customHeight="1" x14ac:dyDescent="0.35">
      <c r="A376">
        <v>1</v>
      </c>
      <c r="B376">
        <v>1</v>
      </c>
      <c r="C376" t="s">
        <v>263</v>
      </c>
    </row>
    <row r="377" spans="1:3" ht="18" customHeight="1" x14ac:dyDescent="0.35">
      <c r="A377">
        <v>4</v>
      </c>
      <c r="B377">
        <v>4</v>
      </c>
      <c r="C377" t="s">
        <v>95</v>
      </c>
    </row>
    <row r="378" spans="1:3" ht="18" customHeight="1" x14ac:dyDescent="0.35">
      <c r="A378">
        <v>8</v>
      </c>
      <c r="B378">
        <v>8</v>
      </c>
      <c r="C378" t="s">
        <v>264</v>
      </c>
    </row>
    <row r="379" spans="1:3" ht="18" customHeight="1" x14ac:dyDescent="0.35">
      <c r="A379">
        <v>20</v>
      </c>
      <c r="B379">
        <v>20</v>
      </c>
      <c r="C379" t="s">
        <v>265</v>
      </c>
    </row>
    <row r="380" spans="1:3" ht="18" customHeight="1" x14ac:dyDescent="0.35">
      <c r="A380">
        <v>0.36326109400000001</v>
      </c>
      <c r="B380">
        <f>HYPGEOMDIST(B376,B377,B378,B379)</f>
        <v>0.36326109391124861</v>
      </c>
      <c r="C380" t="s">
        <v>266</v>
      </c>
    </row>
    <row r="382" spans="1:3" s="4" customFormat="1" ht="18" customHeight="1" x14ac:dyDescent="0.35">
      <c r="A382" s="4" t="s">
        <v>267</v>
      </c>
      <c r="B382" s="4" t="s">
        <v>267</v>
      </c>
      <c r="C382" s="4" t="s">
        <v>268</v>
      </c>
    </row>
    <row r="383" spans="1:3" ht="18" customHeight="1" x14ac:dyDescent="0.35">
      <c r="A383">
        <v>50</v>
      </c>
      <c r="B383">
        <v>50</v>
      </c>
    </row>
    <row r="384" spans="1:3" ht="18" customHeight="1" x14ac:dyDescent="0.35">
      <c r="A384" t="s">
        <v>269</v>
      </c>
      <c r="B384" t="str">
        <f>IF(B383&lt;=100,"Within budget","Over budget")</f>
        <v>Within budget</v>
      </c>
      <c r="C384" t="s">
        <v>270</v>
      </c>
    </row>
    <row r="385" spans="1:3" ht="18" customHeight="1" x14ac:dyDescent="0.35">
      <c r="B385" t="str">
        <f>IF(B383=100,SUM(C5:C15),"")</f>
        <v/>
      </c>
      <c r="C385" t="s">
        <v>271</v>
      </c>
    </row>
    <row r="387" spans="1:3" s="4" customFormat="1" ht="18" customHeight="1" x14ac:dyDescent="0.35">
      <c r="A387" s="4" t="s">
        <v>272</v>
      </c>
      <c r="B387" s="4" t="s">
        <v>272</v>
      </c>
      <c r="C387" s="4" t="s">
        <v>273</v>
      </c>
    </row>
    <row r="388" spans="1:3" ht="18" customHeight="1" x14ac:dyDescent="0.35">
      <c r="A388">
        <v>19.5</v>
      </c>
      <c r="B388">
        <v>19.5</v>
      </c>
    </row>
    <row r="389" spans="1:3" ht="18" customHeight="1" x14ac:dyDescent="0.35">
      <c r="A389">
        <v>8</v>
      </c>
      <c r="B389">
        <f>INT(8.9)</f>
        <v>8</v>
      </c>
      <c r="C389" t="s">
        <v>274</v>
      </c>
    </row>
    <row r="390" spans="1:3" ht="18" customHeight="1" x14ac:dyDescent="0.35">
      <c r="A390">
        <v>-9</v>
      </c>
      <c r="B390">
        <f>INT(-8.9)</f>
        <v>-9</v>
      </c>
      <c r="C390" t="s">
        <v>275</v>
      </c>
    </row>
    <row r="391" spans="1:3" ht="18" customHeight="1" x14ac:dyDescent="0.35">
      <c r="A391">
        <v>0.5</v>
      </c>
      <c r="B391">
        <f>B388-INT(B388)</f>
        <v>0.5</v>
      </c>
      <c r="C391" t="s">
        <v>276</v>
      </c>
    </row>
    <row r="393" spans="1:3" s="4" customFormat="1" ht="18" customHeight="1" x14ac:dyDescent="0.35">
      <c r="A393" s="4" t="s">
        <v>277</v>
      </c>
      <c r="B393" s="4" t="s">
        <v>277</v>
      </c>
      <c r="C393" s="4" t="s">
        <v>277</v>
      </c>
    </row>
    <row r="394" spans="1:3" ht="18" customHeight="1" x14ac:dyDescent="0.35">
      <c r="A394">
        <v>2</v>
      </c>
      <c r="B394">
        <v>2</v>
      </c>
      <c r="C394">
        <v>6</v>
      </c>
    </row>
    <row r="395" spans="1:3" ht="18" customHeight="1" x14ac:dyDescent="0.35">
      <c r="A395">
        <v>3</v>
      </c>
      <c r="B395">
        <v>3</v>
      </c>
      <c r="C395">
        <v>5</v>
      </c>
    </row>
    <row r="396" spans="1:3" ht="18" customHeight="1" x14ac:dyDescent="0.35">
      <c r="A396">
        <v>9</v>
      </c>
      <c r="B396">
        <v>9</v>
      </c>
      <c r="C396">
        <v>11</v>
      </c>
    </row>
    <row r="397" spans="1:3" ht="18" customHeight="1" x14ac:dyDescent="0.35">
      <c r="A397">
        <v>1</v>
      </c>
      <c r="B397">
        <v>1</v>
      </c>
      <c r="C397">
        <v>7</v>
      </c>
    </row>
    <row r="398" spans="1:3" ht="18" customHeight="1" x14ac:dyDescent="0.35">
      <c r="A398">
        <v>8</v>
      </c>
      <c r="B398">
        <v>8</v>
      </c>
      <c r="C398">
        <v>5</v>
      </c>
    </row>
    <row r="399" spans="1:3" ht="18" customHeight="1" x14ac:dyDescent="0.35">
      <c r="A399">
        <v>4.8387096999999997E-2</v>
      </c>
      <c r="B399">
        <f>INTERCEPT(B394:B398, C394:C398)</f>
        <v>4.8387096774192173E-2</v>
      </c>
      <c r="C399" t="s">
        <v>278</v>
      </c>
    </row>
    <row r="401" spans="1:3" s="4" customFormat="1" ht="18" customHeight="1" x14ac:dyDescent="0.35">
      <c r="A401" s="4" t="s">
        <v>279</v>
      </c>
      <c r="B401" s="4" t="s">
        <v>279</v>
      </c>
      <c r="C401" s="4" t="s">
        <v>280</v>
      </c>
    </row>
    <row r="402" spans="1:3" ht="18" customHeight="1" x14ac:dyDescent="0.35">
      <c r="A402">
        <v>0.1</v>
      </c>
      <c r="B402">
        <v>0.1</v>
      </c>
      <c r="C402" t="s">
        <v>281</v>
      </c>
    </row>
    <row r="403" spans="1:3" ht="18" customHeight="1" x14ac:dyDescent="0.35">
      <c r="A403">
        <v>1</v>
      </c>
      <c r="B403">
        <v>1</v>
      </c>
      <c r="C403" t="s">
        <v>282</v>
      </c>
    </row>
    <row r="404" spans="1:3" ht="18" customHeight="1" x14ac:dyDescent="0.35">
      <c r="A404">
        <v>3</v>
      </c>
      <c r="B404">
        <v>3</v>
      </c>
      <c r="C404" t="s">
        <v>283</v>
      </c>
    </row>
    <row r="405" spans="1:3" ht="18" customHeight="1" x14ac:dyDescent="0.35">
      <c r="A405">
        <v>8000</v>
      </c>
      <c r="B405">
        <v>8000</v>
      </c>
      <c r="C405" t="s">
        <v>284</v>
      </c>
    </row>
    <row r="406" spans="1:3" ht="18" customHeight="1" x14ac:dyDescent="0.35">
      <c r="A406">
        <v>-22.406893016000001</v>
      </c>
      <c r="B406">
        <f>IPMT(B402/12, B403*3, B404, B405)</f>
        <v>-22.406893015924034</v>
      </c>
      <c r="C406" t="s">
        <v>285</v>
      </c>
    </row>
    <row r="407" spans="1:3" ht="18" customHeight="1" x14ac:dyDescent="0.35">
      <c r="A407">
        <v>-292.44712990900001</v>
      </c>
      <c r="B407">
        <f>IPMT(B402, 3, B404, B405)</f>
        <v>-292.44712990936563</v>
      </c>
      <c r="C407" t="s">
        <v>286</v>
      </c>
    </row>
    <row r="409" spans="1:3" s="4" customFormat="1" ht="18" customHeight="1" x14ac:dyDescent="0.35">
      <c r="A409" s="4" t="s">
        <v>287</v>
      </c>
      <c r="B409" s="4" t="s">
        <v>287</v>
      </c>
      <c r="C409" s="4" t="s">
        <v>288</v>
      </c>
    </row>
    <row r="410" spans="1:3" ht="18" customHeight="1" x14ac:dyDescent="0.35">
      <c r="A410">
        <v>-70000</v>
      </c>
      <c r="B410">
        <v>-70000</v>
      </c>
      <c r="C410" t="s">
        <v>289</v>
      </c>
    </row>
    <row r="411" spans="1:3" ht="18" customHeight="1" x14ac:dyDescent="0.35">
      <c r="A411">
        <v>12000</v>
      </c>
      <c r="B411">
        <v>12000</v>
      </c>
      <c r="C411" t="s">
        <v>290</v>
      </c>
    </row>
    <row r="412" spans="1:3" ht="18" customHeight="1" x14ac:dyDescent="0.35">
      <c r="A412">
        <v>15000</v>
      </c>
      <c r="B412">
        <v>15000</v>
      </c>
      <c r="C412" t="s">
        <v>291</v>
      </c>
    </row>
    <row r="413" spans="1:3" ht="18" customHeight="1" x14ac:dyDescent="0.35">
      <c r="A413">
        <v>18000</v>
      </c>
      <c r="B413">
        <v>18000</v>
      </c>
      <c r="C413" t="s">
        <v>292</v>
      </c>
    </row>
    <row r="414" spans="1:3" ht="18" customHeight="1" x14ac:dyDescent="0.35">
      <c r="A414">
        <v>21000</v>
      </c>
      <c r="B414">
        <v>21000</v>
      </c>
      <c r="C414" t="s">
        <v>293</v>
      </c>
    </row>
    <row r="415" spans="1:3" ht="18" customHeight="1" x14ac:dyDescent="0.35">
      <c r="A415">
        <v>26000</v>
      </c>
      <c r="B415">
        <v>26000</v>
      </c>
      <c r="C415" t="s">
        <v>294</v>
      </c>
    </row>
    <row r="416" spans="1:3" ht="18" customHeight="1" x14ac:dyDescent="0.35">
      <c r="A416">
        <v>-2.1244848270000002E-2</v>
      </c>
      <c r="B416">
        <f>IRR(B410:B414)</f>
        <v>-2.1244848273410888E-2</v>
      </c>
      <c r="C416" t="s">
        <v>295</v>
      </c>
    </row>
    <row r="417" spans="1:3" ht="18" customHeight="1" x14ac:dyDescent="0.35">
      <c r="A417">
        <v>8.6630948040000003E-2</v>
      </c>
      <c r="B417">
        <f>IRR(B410:B415)</f>
        <v>8.663094803652216E-2</v>
      </c>
      <c r="C417" t="s">
        <v>296</v>
      </c>
    </row>
    <row r="418" spans="1:3" ht="18" customHeight="1" x14ac:dyDescent="0.35">
      <c r="A418">
        <v>-0.44350694133000002</v>
      </c>
      <c r="B418">
        <f>IRR(B410:B412,-10%)</f>
        <v>-0.44350694133473989</v>
      </c>
      <c r="C418" t="s">
        <v>297</v>
      </c>
    </row>
    <row r="420" spans="1:3" s="4" customFormat="1" ht="18" customHeight="1" x14ac:dyDescent="0.35">
      <c r="A420" s="4" t="s">
        <v>298</v>
      </c>
      <c r="B420" s="4" t="s">
        <v>298</v>
      </c>
      <c r="C420" s="4" t="s">
        <v>299</v>
      </c>
    </row>
    <row r="421" spans="1:3" ht="18" customHeight="1" x14ac:dyDescent="0.35">
      <c r="A421" t="e">
        <v>#REF!</v>
      </c>
      <c r="B421" t="e">
        <v>#REF!</v>
      </c>
    </row>
    <row r="422" spans="1:3" ht="18" customHeight="1" x14ac:dyDescent="0.35">
      <c r="A422" t="b">
        <v>1</v>
      </c>
      <c r="B422" t="b">
        <f>ISERROR(B421)</f>
        <v>1</v>
      </c>
      <c r="C422" t="s">
        <v>300</v>
      </c>
    </row>
    <row r="424" spans="1:3" s="4" customFormat="1" ht="18" customHeight="1" x14ac:dyDescent="0.35">
      <c r="A424" s="4" t="s">
        <v>301</v>
      </c>
      <c r="B424" s="4" t="s">
        <v>301</v>
      </c>
      <c r="C424" s="4" t="s">
        <v>302</v>
      </c>
    </row>
    <row r="425" spans="1:3" ht="18" customHeight="1" x14ac:dyDescent="0.35">
      <c r="A425">
        <v>330.92</v>
      </c>
      <c r="B425">
        <v>330.92</v>
      </c>
    </row>
    <row r="426" spans="1:3" ht="18" customHeight="1" x14ac:dyDescent="0.35">
      <c r="A426" t="b">
        <v>1</v>
      </c>
      <c r="B426" t="b">
        <f>ISNUMBER(B425)</f>
        <v>1</v>
      </c>
      <c r="C426" t="s">
        <v>303</v>
      </c>
    </row>
    <row r="428" spans="1:3" s="4" customFormat="1" ht="18" customHeight="1" x14ac:dyDescent="0.35">
      <c r="A428" s="4" t="s">
        <v>304</v>
      </c>
      <c r="B428" s="4" t="s">
        <v>304</v>
      </c>
      <c r="C428" s="4" t="s">
        <v>305</v>
      </c>
    </row>
    <row r="429" spans="1:3" ht="18" customHeight="1" x14ac:dyDescent="0.35">
      <c r="A429">
        <v>0.1</v>
      </c>
      <c r="B429">
        <v>0.1</v>
      </c>
      <c r="C429" t="s">
        <v>219</v>
      </c>
    </row>
    <row r="430" spans="1:3" ht="18" customHeight="1" x14ac:dyDescent="0.35">
      <c r="A430">
        <v>1</v>
      </c>
      <c r="B430">
        <v>1</v>
      </c>
      <c r="C430" t="s">
        <v>306</v>
      </c>
    </row>
    <row r="431" spans="1:3" ht="18" customHeight="1" x14ac:dyDescent="0.35">
      <c r="A431">
        <v>3</v>
      </c>
      <c r="B431">
        <v>3</v>
      </c>
      <c r="C431" t="s">
        <v>307</v>
      </c>
    </row>
    <row r="432" spans="1:3" ht="18" customHeight="1" x14ac:dyDescent="0.35">
      <c r="A432">
        <v>8000000</v>
      </c>
      <c r="B432">
        <v>8000000</v>
      </c>
      <c r="C432" t="s">
        <v>308</v>
      </c>
    </row>
    <row r="433" spans="1:3" ht="18" customHeight="1" x14ac:dyDescent="0.35">
      <c r="A433">
        <v>-64814.814810000003</v>
      </c>
      <c r="B433">
        <f>ISPMT(B429/12,B430,B431*12,B432)</f>
        <v>-64814.814814814818</v>
      </c>
      <c r="C433" t="s">
        <v>309</v>
      </c>
    </row>
    <row r="434" spans="1:3" ht="18" customHeight="1" x14ac:dyDescent="0.35">
      <c r="A434">
        <v>-533333.33330000006</v>
      </c>
      <c r="B434">
        <f>ISPMT(B429,1,B431,B432)</f>
        <v>-533333.33333333337</v>
      </c>
      <c r="C434" t="s">
        <v>310</v>
      </c>
    </row>
    <row r="436" spans="1:3" s="4" customFormat="1" ht="18" customHeight="1" x14ac:dyDescent="0.35">
      <c r="A436" s="4" t="s">
        <v>311</v>
      </c>
      <c r="B436" s="4" t="s">
        <v>311</v>
      </c>
      <c r="C436" s="4" t="s">
        <v>312</v>
      </c>
    </row>
    <row r="437" spans="1:3" ht="18" customHeight="1" x14ac:dyDescent="0.35">
      <c r="A437">
        <v>3</v>
      </c>
      <c r="B437">
        <v>3</v>
      </c>
    </row>
    <row r="438" spans="1:3" ht="18" customHeight="1" x14ac:dyDescent="0.35">
      <c r="A438">
        <v>4</v>
      </c>
      <c r="B438">
        <v>4</v>
      </c>
    </row>
    <row r="439" spans="1:3" ht="18" customHeight="1" x14ac:dyDescent="0.35">
      <c r="A439">
        <v>5</v>
      </c>
      <c r="B439">
        <v>5</v>
      </c>
    </row>
    <row r="440" spans="1:3" ht="18" customHeight="1" x14ac:dyDescent="0.35">
      <c r="A440">
        <v>2</v>
      </c>
      <c r="B440">
        <v>2</v>
      </c>
    </row>
    <row r="441" spans="1:3" ht="18" customHeight="1" x14ac:dyDescent="0.35">
      <c r="A441">
        <v>3</v>
      </c>
      <c r="B441">
        <v>3</v>
      </c>
    </row>
    <row r="442" spans="1:3" ht="18" customHeight="1" x14ac:dyDescent="0.35">
      <c r="A442">
        <v>4</v>
      </c>
      <c r="B442">
        <v>4</v>
      </c>
    </row>
    <row r="443" spans="1:3" ht="18" customHeight="1" x14ac:dyDescent="0.35">
      <c r="A443">
        <v>5</v>
      </c>
      <c r="B443">
        <v>5</v>
      </c>
    </row>
    <row r="444" spans="1:3" ht="18" customHeight="1" x14ac:dyDescent="0.35">
      <c r="A444">
        <v>6</v>
      </c>
      <c r="B444">
        <v>6</v>
      </c>
    </row>
    <row r="445" spans="1:3" ht="18" customHeight="1" x14ac:dyDescent="0.35">
      <c r="A445">
        <v>4</v>
      </c>
      <c r="B445">
        <v>4</v>
      </c>
    </row>
    <row r="446" spans="1:3" ht="18" customHeight="1" x14ac:dyDescent="0.35">
      <c r="A446">
        <v>7</v>
      </c>
      <c r="B446">
        <v>7</v>
      </c>
    </row>
    <row r="447" spans="1:3" ht="18" customHeight="1" x14ac:dyDescent="0.35">
      <c r="A447">
        <v>-0.15179963699999999</v>
      </c>
      <c r="B447">
        <f>KURT(B437:B446)</f>
        <v>-0.15179963720841627</v>
      </c>
      <c r="C447" t="s">
        <v>313</v>
      </c>
    </row>
    <row r="449" spans="1:3" s="4" customFormat="1" ht="18" customHeight="1" x14ac:dyDescent="0.35">
      <c r="A449" s="4" t="s">
        <v>314</v>
      </c>
      <c r="B449" s="4" t="s">
        <v>314</v>
      </c>
      <c r="C449" s="4" t="s">
        <v>314</v>
      </c>
    </row>
    <row r="450" spans="1:3" ht="18" customHeight="1" x14ac:dyDescent="0.35">
      <c r="A450">
        <v>3</v>
      </c>
      <c r="B450">
        <v>3</v>
      </c>
      <c r="C450">
        <v>4</v>
      </c>
    </row>
    <row r="451" spans="1:3" ht="18" customHeight="1" x14ac:dyDescent="0.35">
      <c r="A451">
        <v>5</v>
      </c>
      <c r="B451">
        <v>5</v>
      </c>
      <c r="C451">
        <v>2</v>
      </c>
    </row>
    <row r="452" spans="1:3" ht="18" customHeight="1" x14ac:dyDescent="0.35">
      <c r="A452">
        <v>3</v>
      </c>
      <c r="B452">
        <v>3</v>
      </c>
      <c r="C452">
        <v>4</v>
      </c>
    </row>
    <row r="453" spans="1:3" ht="18" customHeight="1" x14ac:dyDescent="0.35">
      <c r="A453">
        <v>5</v>
      </c>
      <c r="B453">
        <v>5</v>
      </c>
      <c r="C453">
        <v>6</v>
      </c>
    </row>
    <row r="454" spans="1:3" ht="18" customHeight="1" x14ac:dyDescent="0.35">
      <c r="A454">
        <v>4</v>
      </c>
      <c r="B454">
        <v>4</v>
      </c>
      <c r="C454">
        <v>7</v>
      </c>
    </row>
    <row r="455" spans="1:3" ht="18" customHeight="1" x14ac:dyDescent="0.35">
      <c r="A455">
        <v>5</v>
      </c>
      <c r="B455">
        <f>LARGE(B450:C454,3)</f>
        <v>5</v>
      </c>
      <c r="C455" t="s">
        <v>315</v>
      </c>
    </row>
    <row r="456" spans="1:3" ht="18" customHeight="1" x14ac:dyDescent="0.35">
      <c r="A456">
        <v>4</v>
      </c>
      <c r="B456">
        <f>LARGE(B450:C454,7)</f>
        <v>4</v>
      </c>
      <c r="C456" t="s">
        <v>316</v>
      </c>
    </row>
    <row r="458" spans="1:3" s="4" customFormat="1" ht="18" customHeight="1" x14ac:dyDescent="0.35">
      <c r="A458" s="4" t="s">
        <v>317</v>
      </c>
      <c r="B458" s="4" t="s">
        <v>317</v>
      </c>
      <c r="C458" s="4" t="s">
        <v>317</v>
      </c>
    </row>
    <row r="459" spans="1:3" ht="18" customHeight="1" x14ac:dyDescent="0.35">
      <c r="A459" t="s">
        <v>318</v>
      </c>
      <c r="B459" t="s">
        <v>318</v>
      </c>
    </row>
    <row r="460" spans="1:3" ht="18" customHeight="1" x14ac:dyDescent="0.35">
      <c r="A460" t="s">
        <v>319</v>
      </c>
      <c r="B460" t="s">
        <v>319</v>
      </c>
    </row>
    <row r="461" spans="1:3" ht="18" customHeight="1" x14ac:dyDescent="0.35">
      <c r="A461" t="s">
        <v>320</v>
      </c>
      <c r="B461" t="str">
        <f>LEFT(B459,4)</f>
        <v>Sale</v>
      </c>
      <c r="C461" t="s">
        <v>321</v>
      </c>
    </row>
    <row r="462" spans="1:3" ht="18" customHeight="1" x14ac:dyDescent="0.35">
      <c r="A462" t="s">
        <v>322</v>
      </c>
      <c r="B462" t="str">
        <f>LEFT(B460)</f>
        <v>S</v>
      </c>
      <c r="C462" t="s">
        <v>323</v>
      </c>
    </row>
    <row r="464" spans="1:3" s="4" customFormat="1" ht="18" customHeight="1" x14ac:dyDescent="0.35">
      <c r="A464" s="4" t="s">
        <v>324</v>
      </c>
      <c r="B464" s="4" t="s">
        <v>324</v>
      </c>
      <c r="C464" s="4" t="s">
        <v>325</v>
      </c>
    </row>
    <row r="465" spans="1:3" ht="18" customHeight="1" x14ac:dyDescent="0.35">
      <c r="A465">
        <v>4.4543472959999999</v>
      </c>
      <c r="B465">
        <f>LN(86)</f>
        <v>4.4543472962535073</v>
      </c>
      <c r="C465" t="s">
        <v>326</v>
      </c>
    </row>
    <row r="466" spans="1:3" ht="18" customHeight="1" x14ac:dyDescent="0.35">
      <c r="A466">
        <v>0.99999998999999995</v>
      </c>
      <c r="B466">
        <f>LN(2.7182818)</f>
        <v>0.9999999895305024</v>
      </c>
      <c r="C466" t="s">
        <v>327</v>
      </c>
    </row>
    <row r="467" spans="1:3" ht="18" customHeight="1" x14ac:dyDescent="0.35">
      <c r="A467">
        <v>3</v>
      </c>
      <c r="B467">
        <f>LN(EXP(3))</f>
        <v>3</v>
      </c>
      <c r="C467" t="s">
        <v>328</v>
      </c>
    </row>
    <row r="469" spans="1:3" s="4" customFormat="1" ht="18" customHeight="1" x14ac:dyDescent="0.35">
      <c r="A469" s="4" t="s">
        <v>329</v>
      </c>
      <c r="B469" s="4" t="s">
        <v>329</v>
      </c>
      <c r="C469" s="4" t="s">
        <v>330</v>
      </c>
    </row>
    <row r="470" spans="1:3" ht="18" customHeight="1" x14ac:dyDescent="0.35">
      <c r="A470">
        <v>1</v>
      </c>
      <c r="B470">
        <f>LOG(10)</f>
        <v>1</v>
      </c>
      <c r="C470" t="s">
        <v>331</v>
      </c>
    </row>
    <row r="471" spans="1:3" ht="18" customHeight="1" x14ac:dyDescent="0.35">
      <c r="A471">
        <v>3</v>
      </c>
      <c r="B471">
        <f>LOG(8, 2)</f>
        <v>3</v>
      </c>
      <c r="C471" t="s">
        <v>332</v>
      </c>
    </row>
    <row r="472" spans="1:3" ht="18" customHeight="1" x14ac:dyDescent="0.35">
      <c r="A472">
        <v>4.4543473430000002</v>
      </c>
      <c r="B472">
        <f>LOG(86, 2.7182818)</f>
        <v>4.454347342888286</v>
      </c>
      <c r="C472" t="s">
        <v>333</v>
      </c>
    </row>
    <row r="474" spans="1:3" s="4" customFormat="1" ht="18" customHeight="1" x14ac:dyDescent="0.35">
      <c r="A474" s="4" t="s">
        <v>334</v>
      </c>
      <c r="B474" s="4" t="s">
        <v>334</v>
      </c>
      <c r="C474" s="4" t="s">
        <v>335</v>
      </c>
    </row>
    <row r="475" spans="1:3" ht="18" customHeight="1" x14ac:dyDescent="0.35">
      <c r="A475">
        <v>1.9344984510000001</v>
      </c>
      <c r="B475">
        <f>LOG10(86)</f>
        <v>1.9344984512435677</v>
      </c>
      <c r="C475" t="s">
        <v>336</v>
      </c>
    </row>
    <row r="476" spans="1:3" ht="18" customHeight="1" x14ac:dyDescent="0.35">
      <c r="A476">
        <v>1</v>
      </c>
      <c r="B476">
        <f>LOG10(10)</f>
        <v>1</v>
      </c>
      <c r="C476" t="s">
        <v>337</v>
      </c>
    </row>
    <row r="477" spans="1:3" ht="18" customHeight="1" x14ac:dyDescent="0.35">
      <c r="A477">
        <v>5</v>
      </c>
      <c r="B477">
        <f>LOG10(100000)</f>
        <v>5</v>
      </c>
      <c r="C477" t="s">
        <v>338</v>
      </c>
    </row>
    <row r="478" spans="1:3" ht="18" customHeight="1" x14ac:dyDescent="0.35">
      <c r="A478">
        <v>5</v>
      </c>
      <c r="B478">
        <f>LOG10(10^5)</f>
        <v>5</v>
      </c>
      <c r="C478" t="s">
        <v>339</v>
      </c>
    </row>
    <row r="480" spans="1:3" s="4" customFormat="1" ht="18" customHeight="1" x14ac:dyDescent="0.35">
      <c r="A480" s="4" t="s">
        <v>340</v>
      </c>
      <c r="B480" s="4" t="s">
        <v>340</v>
      </c>
      <c r="C480" s="4" t="s">
        <v>341</v>
      </c>
    </row>
    <row r="481" spans="1:3" ht="18" customHeight="1" x14ac:dyDescent="0.35">
      <c r="A481">
        <v>3.9084000000000001E-2</v>
      </c>
      <c r="B481">
        <v>3.9084000000000001E-2</v>
      </c>
      <c r="C481" t="s">
        <v>342</v>
      </c>
    </row>
    <row r="482" spans="1:3" ht="18" customHeight="1" x14ac:dyDescent="0.35">
      <c r="A482">
        <v>3.5</v>
      </c>
      <c r="B482">
        <v>3.5</v>
      </c>
      <c r="C482" t="s">
        <v>343</v>
      </c>
    </row>
    <row r="483" spans="1:3" ht="18" customHeight="1" x14ac:dyDescent="0.35">
      <c r="A483">
        <v>1.2</v>
      </c>
      <c r="B483">
        <v>1.2</v>
      </c>
      <c r="C483" t="s">
        <v>344</v>
      </c>
    </row>
    <row r="484" spans="1:3" ht="18" customHeight="1" x14ac:dyDescent="0.35">
      <c r="A484">
        <v>4.0000252190000003</v>
      </c>
      <c r="B484">
        <f>LOGINV(B481, B482, B483)</f>
        <v>4.000025218680638</v>
      </c>
      <c r="C484" t="s">
        <v>345</v>
      </c>
    </row>
    <row r="486" spans="1:3" s="4" customFormat="1" ht="18" customHeight="1" x14ac:dyDescent="0.35">
      <c r="A486" s="4" t="s">
        <v>346</v>
      </c>
      <c r="B486" s="4" t="s">
        <v>346</v>
      </c>
      <c r="C486" s="4" t="s">
        <v>347</v>
      </c>
    </row>
    <row r="487" spans="1:3" ht="18" customHeight="1" x14ac:dyDescent="0.35">
      <c r="A487">
        <v>4</v>
      </c>
      <c r="B487">
        <v>4</v>
      </c>
      <c r="C487" t="s">
        <v>348</v>
      </c>
    </row>
    <row r="488" spans="1:3" ht="18" customHeight="1" x14ac:dyDescent="0.35">
      <c r="A488">
        <v>3.5</v>
      </c>
      <c r="B488">
        <v>3.5</v>
      </c>
      <c r="C488" t="s">
        <v>343</v>
      </c>
    </row>
    <row r="489" spans="1:3" ht="18" customHeight="1" x14ac:dyDescent="0.35">
      <c r="A489">
        <v>1.2</v>
      </c>
      <c r="B489">
        <v>1.2</v>
      </c>
      <c r="C489" t="s">
        <v>344</v>
      </c>
    </row>
    <row r="490" spans="1:3" ht="18" customHeight="1" x14ac:dyDescent="0.35">
      <c r="A490">
        <v>3.9083555999999998E-2</v>
      </c>
      <c r="B490">
        <f>LOGNORMDIST(B487,B488,B489)</f>
        <v>3.9083555706800478E-2</v>
      </c>
      <c r="C490" t="s">
        <v>349</v>
      </c>
    </row>
    <row r="492" spans="1:3" s="4" customFormat="1" ht="18" customHeight="1" x14ac:dyDescent="0.35">
      <c r="A492" s="4" t="s">
        <v>350</v>
      </c>
      <c r="B492" s="4" t="s">
        <v>350</v>
      </c>
      <c r="C492" s="4" t="s">
        <v>351</v>
      </c>
    </row>
    <row r="493" spans="1:3" ht="18" customHeight="1" x14ac:dyDescent="0.35">
      <c r="A493">
        <v>10</v>
      </c>
      <c r="B493">
        <v>10</v>
      </c>
    </row>
    <row r="494" spans="1:3" ht="18" customHeight="1" x14ac:dyDescent="0.35">
      <c r="A494">
        <v>7</v>
      </c>
      <c r="B494">
        <v>7</v>
      </c>
    </row>
    <row r="495" spans="1:3" ht="18" customHeight="1" x14ac:dyDescent="0.35">
      <c r="A495">
        <v>9</v>
      </c>
      <c r="B495">
        <v>9</v>
      </c>
    </row>
    <row r="496" spans="1:3" ht="18" customHeight="1" x14ac:dyDescent="0.35">
      <c r="A496">
        <v>27</v>
      </c>
      <c r="B496">
        <v>27</v>
      </c>
    </row>
    <row r="497" spans="1:3" ht="18" customHeight="1" x14ac:dyDescent="0.35">
      <c r="A497">
        <v>2</v>
      </c>
      <c r="B497">
        <v>2</v>
      </c>
    </row>
    <row r="498" spans="1:3" ht="18" customHeight="1" x14ac:dyDescent="0.35">
      <c r="A498">
        <v>27</v>
      </c>
      <c r="B498">
        <f>MAX(B493:B497)</f>
        <v>27</v>
      </c>
      <c r="C498" t="s">
        <v>352</v>
      </c>
    </row>
    <row r="499" spans="1:3" ht="18" customHeight="1" x14ac:dyDescent="0.35">
      <c r="A499">
        <v>30</v>
      </c>
      <c r="B499">
        <f>MAX(B493:B497, 30)</f>
        <v>30</v>
      </c>
      <c r="C499" t="s">
        <v>353</v>
      </c>
    </row>
    <row r="501" spans="1:3" s="4" customFormat="1" ht="18" customHeight="1" x14ac:dyDescent="0.35">
      <c r="A501" s="4" t="s">
        <v>354</v>
      </c>
      <c r="B501" s="4" t="s">
        <v>354</v>
      </c>
      <c r="C501" s="4" t="s">
        <v>355</v>
      </c>
    </row>
    <row r="502" spans="1:3" ht="18" customHeight="1" x14ac:dyDescent="0.35">
      <c r="A502">
        <v>0</v>
      </c>
      <c r="B502">
        <v>0</v>
      </c>
    </row>
    <row r="503" spans="1:3" ht="18" customHeight="1" x14ac:dyDescent="0.35">
      <c r="A503">
        <v>0.2</v>
      </c>
      <c r="B503">
        <v>0.2</v>
      </c>
    </row>
    <row r="504" spans="1:3" ht="18" customHeight="1" x14ac:dyDescent="0.35">
      <c r="A504">
        <v>0.5</v>
      </c>
      <c r="B504">
        <v>0.5</v>
      </c>
    </row>
    <row r="505" spans="1:3" ht="18" customHeight="1" x14ac:dyDescent="0.35">
      <c r="A505">
        <v>0.4</v>
      </c>
      <c r="B505">
        <v>0.4</v>
      </c>
    </row>
    <row r="506" spans="1:3" ht="18" customHeight="1" x14ac:dyDescent="0.35">
      <c r="A506" t="b">
        <v>1</v>
      </c>
      <c r="B506" t="b">
        <v>1</v>
      </c>
    </row>
    <row r="507" spans="1:3" ht="18" customHeight="1" x14ac:dyDescent="0.35">
      <c r="A507">
        <v>1</v>
      </c>
      <c r="B507">
        <f>MAXA(B502:B506)</f>
        <v>1</v>
      </c>
      <c r="C507" t="s">
        <v>356</v>
      </c>
    </row>
    <row r="509" spans="1:3" s="4" customFormat="1" ht="18" customHeight="1" x14ac:dyDescent="0.35">
      <c r="A509" s="4" t="s">
        <v>357</v>
      </c>
      <c r="B509" s="4" t="s">
        <v>357</v>
      </c>
      <c r="C509" s="4" t="s">
        <v>357</v>
      </c>
    </row>
    <row r="510" spans="1:3" ht="18" customHeight="1" x14ac:dyDescent="0.35">
      <c r="A510">
        <v>1</v>
      </c>
      <c r="B510">
        <v>1</v>
      </c>
    </row>
    <row r="511" spans="1:3" ht="18" customHeight="1" x14ac:dyDescent="0.35">
      <c r="A511">
        <v>2</v>
      </c>
      <c r="B511">
        <v>2</v>
      </c>
    </row>
    <row r="512" spans="1:3" ht="18" customHeight="1" x14ac:dyDescent="0.35">
      <c r="A512">
        <v>3</v>
      </c>
      <c r="B512">
        <v>3</v>
      </c>
    </row>
    <row r="513" spans="1:3" ht="18" customHeight="1" x14ac:dyDescent="0.35">
      <c r="A513">
        <v>4</v>
      </c>
      <c r="B513">
        <v>4</v>
      </c>
    </row>
    <row r="514" spans="1:3" ht="18" customHeight="1" x14ac:dyDescent="0.35">
      <c r="A514">
        <v>5</v>
      </c>
      <c r="B514">
        <v>5</v>
      </c>
    </row>
    <row r="515" spans="1:3" ht="18" customHeight="1" x14ac:dyDescent="0.35">
      <c r="A515">
        <v>6</v>
      </c>
      <c r="B515">
        <v>6</v>
      </c>
    </row>
    <row r="516" spans="1:3" ht="18" customHeight="1" x14ac:dyDescent="0.35">
      <c r="A516">
        <v>3</v>
      </c>
      <c r="B516">
        <f>MEDIAN(B510:B514)</f>
        <v>3</v>
      </c>
      <c r="C516" t="s">
        <v>358</v>
      </c>
    </row>
    <row r="517" spans="1:3" ht="18" customHeight="1" x14ac:dyDescent="0.35">
      <c r="A517">
        <v>3.5</v>
      </c>
      <c r="B517">
        <f>MEDIAN(B510:B515)</f>
        <v>3.5</v>
      </c>
      <c r="C517" t="s">
        <v>359</v>
      </c>
    </row>
    <row r="519" spans="1:3" s="4" customFormat="1" ht="18" customHeight="1" x14ac:dyDescent="0.35">
      <c r="A519" s="4" t="s">
        <v>360</v>
      </c>
      <c r="B519" s="4" t="s">
        <v>360</v>
      </c>
      <c r="C519" s="4" t="s">
        <v>361</v>
      </c>
    </row>
    <row r="520" spans="1:3" ht="18" customHeight="1" x14ac:dyDescent="0.35">
      <c r="A520">
        <v>10</v>
      </c>
      <c r="B520">
        <v>10</v>
      </c>
    </row>
    <row r="521" spans="1:3" ht="18" customHeight="1" x14ac:dyDescent="0.35">
      <c r="A521">
        <v>7</v>
      </c>
      <c r="B521">
        <v>7</v>
      </c>
    </row>
    <row r="522" spans="1:3" ht="18" customHeight="1" x14ac:dyDescent="0.35">
      <c r="A522">
        <v>9</v>
      </c>
      <c r="B522">
        <v>9</v>
      </c>
    </row>
    <row r="523" spans="1:3" ht="18" customHeight="1" x14ac:dyDescent="0.35">
      <c r="A523">
        <v>27</v>
      </c>
      <c r="B523">
        <v>27</v>
      </c>
    </row>
    <row r="524" spans="1:3" ht="18" customHeight="1" x14ac:dyDescent="0.35">
      <c r="A524">
        <v>2</v>
      </c>
      <c r="B524">
        <v>2</v>
      </c>
    </row>
    <row r="525" spans="1:3" ht="18" customHeight="1" x14ac:dyDescent="0.35">
      <c r="A525">
        <v>2</v>
      </c>
      <c r="B525">
        <f>MIN(B520:B524)</f>
        <v>2</v>
      </c>
      <c r="C525" t="s">
        <v>362</v>
      </c>
    </row>
    <row r="526" spans="1:3" ht="18" customHeight="1" x14ac:dyDescent="0.35">
      <c r="A526">
        <v>0</v>
      </c>
      <c r="B526">
        <f>MIN(B520:B524,0)</f>
        <v>0</v>
      </c>
      <c r="C526" t="s">
        <v>363</v>
      </c>
    </row>
    <row r="528" spans="1:3" s="4" customFormat="1" ht="18" customHeight="1" x14ac:dyDescent="0.35">
      <c r="A528" s="4" t="s">
        <v>364</v>
      </c>
      <c r="B528" s="4" t="s">
        <v>364</v>
      </c>
      <c r="C528" s="4" t="s">
        <v>361</v>
      </c>
    </row>
    <row r="529" spans="1:3" ht="18" customHeight="1" x14ac:dyDescent="0.35">
      <c r="A529" t="b">
        <v>0</v>
      </c>
      <c r="B529" t="b">
        <v>0</v>
      </c>
    </row>
    <row r="530" spans="1:3" ht="18" customHeight="1" x14ac:dyDescent="0.35">
      <c r="A530">
        <v>0.2</v>
      </c>
      <c r="B530">
        <v>0.2</v>
      </c>
    </row>
    <row r="531" spans="1:3" ht="18" customHeight="1" x14ac:dyDescent="0.35">
      <c r="A531">
        <v>0.5</v>
      </c>
      <c r="B531">
        <v>0.5</v>
      </c>
    </row>
    <row r="532" spans="1:3" ht="18" customHeight="1" x14ac:dyDescent="0.35">
      <c r="A532">
        <v>0.4</v>
      </c>
      <c r="B532">
        <v>0.4</v>
      </c>
    </row>
    <row r="533" spans="1:3" ht="18" customHeight="1" x14ac:dyDescent="0.35">
      <c r="A533">
        <v>0.8</v>
      </c>
      <c r="B533">
        <v>0.8</v>
      </c>
    </row>
    <row r="534" spans="1:3" ht="18" customHeight="1" x14ac:dyDescent="0.35">
      <c r="A534">
        <v>0</v>
      </c>
      <c r="B534">
        <f>MINA(B529:B533)</f>
        <v>0</v>
      </c>
      <c r="C534" t="s">
        <v>365</v>
      </c>
    </row>
    <row r="536" spans="1:3" s="4" customFormat="1" ht="18" customHeight="1" x14ac:dyDescent="0.35">
      <c r="A536" s="4" t="s">
        <v>366</v>
      </c>
      <c r="B536" s="4" t="s">
        <v>366</v>
      </c>
      <c r="C536" s="4" t="s">
        <v>366</v>
      </c>
    </row>
    <row r="537" spans="1:3" ht="18" customHeight="1" x14ac:dyDescent="0.35">
      <c r="A537">
        <v>0.7</v>
      </c>
      <c r="B537">
        <v>0.7</v>
      </c>
    </row>
    <row r="538" spans="1:3" ht="18" customHeight="1" x14ac:dyDescent="0.35">
      <c r="A538">
        <v>48</v>
      </c>
      <c r="B538">
        <f>MINUTE(B537)</f>
        <v>48</v>
      </c>
      <c r="C538" t="s">
        <v>367</v>
      </c>
    </row>
    <row r="540" spans="1:3" s="4" customFormat="1" ht="18" customHeight="1" x14ac:dyDescent="0.35">
      <c r="A540" s="4" t="s">
        <v>368</v>
      </c>
      <c r="B540" s="4" t="s">
        <v>368</v>
      </c>
      <c r="C540" s="4" t="s">
        <v>288</v>
      </c>
    </row>
    <row r="541" spans="1:3" ht="18" customHeight="1" x14ac:dyDescent="0.35">
      <c r="A541">
        <v>-120000</v>
      </c>
      <c r="B541">
        <v>-120000</v>
      </c>
      <c r="C541" t="s">
        <v>150</v>
      </c>
    </row>
    <row r="542" spans="1:3" ht="18" customHeight="1" x14ac:dyDescent="0.35">
      <c r="A542">
        <v>39000</v>
      </c>
      <c r="B542">
        <v>39000</v>
      </c>
      <c r="C542" t="s">
        <v>369</v>
      </c>
    </row>
    <row r="543" spans="1:3" ht="18" customHeight="1" x14ac:dyDescent="0.35">
      <c r="A543">
        <v>30000</v>
      </c>
      <c r="B543">
        <v>30000</v>
      </c>
      <c r="C543" t="s">
        <v>370</v>
      </c>
    </row>
    <row r="544" spans="1:3" ht="18" customHeight="1" x14ac:dyDescent="0.35">
      <c r="A544">
        <v>21000</v>
      </c>
      <c r="B544">
        <v>21000</v>
      </c>
      <c r="C544" t="s">
        <v>371</v>
      </c>
    </row>
    <row r="545" spans="1:3" ht="18" customHeight="1" x14ac:dyDescent="0.35">
      <c r="A545">
        <v>37000</v>
      </c>
      <c r="B545">
        <v>37000</v>
      </c>
      <c r="C545" t="s">
        <v>372</v>
      </c>
    </row>
    <row r="546" spans="1:3" ht="18" customHeight="1" x14ac:dyDescent="0.35">
      <c r="A546">
        <v>46000</v>
      </c>
      <c r="B546">
        <v>46000</v>
      </c>
      <c r="C546" t="s">
        <v>373</v>
      </c>
    </row>
    <row r="547" spans="1:3" ht="18" customHeight="1" x14ac:dyDescent="0.35">
      <c r="A547">
        <v>0.1</v>
      </c>
      <c r="B547">
        <v>0.1</v>
      </c>
      <c r="C547" t="s">
        <v>374</v>
      </c>
    </row>
    <row r="548" spans="1:3" ht="18" customHeight="1" x14ac:dyDescent="0.35">
      <c r="A548">
        <v>0.12</v>
      </c>
      <c r="B548">
        <v>0.12</v>
      </c>
      <c r="C548" t="s">
        <v>375</v>
      </c>
    </row>
    <row r="549" spans="1:3" ht="18" customHeight="1" x14ac:dyDescent="0.35">
      <c r="A549">
        <v>0.1260941304</v>
      </c>
      <c r="B549">
        <f>MIRR(B541:B546, B547, B548)</f>
        <v>0.12609413036590511</v>
      </c>
      <c r="C549" t="s">
        <v>376</v>
      </c>
    </row>
    <row r="550" spans="1:3" ht="18" customHeight="1" x14ac:dyDescent="0.35">
      <c r="A550">
        <v>-4.8044655200000001E-2</v>
      </c>
      <c r="B550">
        <f>MIRR(B541:B544, B547, B548)</f>
        <v>-4.8044655249980806E-2</v>
      </c>
      <c r="C550" t="s">
        <v>377</v>
      </c>
    </row>
    <row r="551" spans="1:3" ht="18" customHeight="1" x14ac:dyDescent="0.35">
      <c r="A551">
        <v>0.1347591108</v>
      </c>
      <c r="B551">
        <f>MIRR(B541:B546, B547, 14%)</f>
        <v>0.13475911082831482</v>
      </c>
      <c r="C551" t="s">
        <v>378</v>
      </c>
    </row>
    <row r="553" spans="1:3" s="4" customFormat="1" ht="18" customHeight="1" x14ac:dyDescent="0.35">
      <c r="A553" s="4" t="s">
        <v>379</v>
      </c>
      <c r="B553" s="4" t="s">
        <v>379</v>
      </c>
      <c r="C553" s="4" t="s">
        <v>380</v>
      </c>
    </row>
    <row r="554" spans="1:3" ht="18" customHeight="1" x14ac:dyDescent="0.35">
      <c r="A554">
        <v>1</v>
      </c>
      <c r="B554">
        <f>MOD(3, 2)</f>
        <v>1</v>
      </c>
      <c r="C554" t="s">
        <v>381</v>
      </c>
    </row>
    <row r="555" spans="1:3" ht="18" customHeight="1" x14ac:dyDescent="0.35">
      <c r="A555">
        <v>1</v>
      </c>
      <c r="B555">
        <f>MOD(-3, 2)</f>
        <v>1</v>
      </c>
      <c r="C555" t="s">
        <v>382</v>
      </c>
    </row>
    <row r="556" spans="1:3" ht="18" customHeight="1" x14ac:dyDescent="0.35">
      <c r="A556">
        <v>-1</v>
      </c>
      <c r="B556">
        <f>MOD(3, -2)</f>
        <v>-1</v>
      </c>
      <c r="C556" t="s">
        <v>383</v>
      </c>
    </row>
    <row r="557" spans="1:3" ht="18" customHeight="1" x14ac:dyDescent="0.35">
      <c r="A557">
        <v>-1</v>
      </c>
      <c r="B557">
        <f>MOD(-3, -2)</f>
        <v>-1</v>
      </c>
      <c r="C557" t="s">
        <v>384</v>
      </c>
    </row>
    <row r="559" spans="1:3" s="4" customFormat="1" ht="18" customHeight="1" x14ac:dyDescent="0.35">
      <c r="A559" s="4" t="s">
        <v>385</v>
      </c>
      <c r="B559" s="4" t="s">
        <v>385</v>
      </c>
      <c r="C559" s="4" t="s">
        <v>386</v>
      </c>
    </row>
    <row r="560" spans="1:3" ht="18" customHeight="1" x14ac:dyDescent="0.35">
      <c r="A560">
        <v>5.6</v>
      </c>
      <c r="B560">
        <v>5.6</v>
      </c>
    </row>
    <row r="561" spans="1:3" ht="18" customHeight="1" x14ac:dyDescent="0.35">
      <c r="A561">
        <v>4</v>
      </c>
      <c r="B561">
        <v>4</v>
      </c>
    </row>
    <row r="562" spans="1:3" ht="18" customHeight="1" x14ac:dyDescent="0.35">
      <c r="A562">
        <v>4</v>
      </c>
      <c r="B562">
        <v>4</v>
      </c>
    </row>
    <row r="563" spans="1:3" ht="18" customHeight="1" x14ac:dyDescent="0.35">
      <c r="A563">
        <v>3</v>
      </c>
      <c r="B563">
        <v>3</v>
      </c>
    </row>
    <row r="564" spans="1:3" ht="18" customHeight="1" x14ac:dyDescent="0.35">
      <c r="A564">
        <v>2</v>
      </c>
      <c r="B564">
        <v>2</v>
      </c>
    </row>
    <row r="565" spans="1:3" ht="18" customHeight="1" x14ac:dyDescent="0.35">
      <c r="A565">
        <v>4</v>
      </c>
      <c r="B565">
        <v>4</v>
      </c>
    </row>
    <row r="566" spans="1:3" ht="18" customHeight="1" x14ac:dyDescent="0.35">
      <c r="A566">
        <v>4</v>
      </c>
      <c r="B566">
        <f>MODE(B560:B565)</f>
        <v>4</v>
      </c>
      <c r="C566" t="s">
        <v>387</v>
      </c>
    </row>
    <row r="568" spans="1:3" s="4" customFormat="1" ht="18" customHeight="1" x14ac:dyDescent="0.35">
      <c r="A568" s="4" t="s">
        <v>388</v>
      </c>
      <c r="B568" s="4" t="s">
        <v>388</v>
      </c>
      <c r="C568" s="4" t="s">
        <v>388</v>
      </c>
    </row>
    <row r="569" spans="1:3" ht="18" customHeight="1" x14ac:dyDescent="0.35">
      <c r="A569">
        <v>39553</v>
      </c>
      <c r="B569">
        <v>39553</v>
      </c>
    </row>
    <row r="570" spans="1:3" ht="18" customHeight="1" x14ac:dyDescent="0.35">
      <c r="A570">
        <v>4</v>
      </c>
      <c r="B570">
        <f>MONTH(B569)</f>
        <v>4</v>
      </c>
      <c r="C570" t="s">
        <v>389</v>
      </c>
    </row>
    <row r="572" spans="1:3" s="4" customFormat="1" ht="18" customHeight="1" x14ac:dyDescent="0.35">
      <c r="A572" s="4" t="s">
        <v>390</v>
      </c>
      <c r="B572" s="4" t="s">
        <v>390</v>
      </c>
      <c r="C572" s="4" t="s">
        <v>391</v>
      </c>
    </row>
    <row r="573" spans="1:3" ht="18" customHeight="1" x14ac:dyDescent="0.35">
      <c r="A573">
        <v>10</v>
      </c>
      <c r="B573">
        <v>10</v>
      </c>
      <c r="C573" t="s">
        <v>392</v>
      </c>
    </row>
    <row r="574" spans="1:3" ht="18" customHeight="1" x14ac:dyDescent="0.35">
      <c r="A574">
        <v>5</v>
      </c>
      <c r="B574">
        <v>5</v>
      </c>
      <c r="C574" t="s">
        <v>393</v>
      </c>
    </row>
    <row r="575" spans="1:3" ht="18" customHeight="1" x14ac:dyDescent="0.35">
      <c r="A575">
        <v>0.25</v>
      </c>
      <c r="B575">
        <v>0.25</v>
      </c>
      <c r="C575" t="s">
        <v>394</v>
      </c>
    </row>
    <row r="576" spans="1:3" ht="18" customHeight="1" x14ac:dyDescent="0.35">
      <c r="A576">
        <v>5.5048659999999999E-2</v>
      </c>
      <c r="B576">
        <f>NEGBINOMDIST(B573,B574,B575)</f>
        <v>5.5048660375177853E-2</v>
      </c>
      <c r="C576" t="s">
        <v>395</v>
      </c>
    </row>
    <row r="578" spans="1:3" s="4" customFormat="1" ht="18" customHeight="1" x14ac:dyDescent="0.35">
      <c r="A578" s="4" t="s">
        <v>396</v>
      </c>
      <c r="B578" s="4" t="s">
        <v>396</v>
      </c>
      <c r="C578" s="4" t="s">
        <v>397</v>
      </c>
    </row>
    <row r="579" spans="1:3" ht="18" customHeight="1" x14ac:dyDescent="0.35">
      <c r="A579">
        <v>42</v>
      </c>
      <c r="B579">
        <v>42</v>
      </c>
      <c r="C579" t="s">
        <v>398</v>
      </c>
    </row>
    <row r="580" spans="1:3" ht="18" customHeight="1" x14ac:dyDescent="0.35">
      <c r="A580">
        <v>40</v>
      </c>
      <c r="B580">
        <v>40</v>
      </c>
      <c r="C580" t="s">
        <v>399</v>
      </c>
    </row>
    <row r="581" spans="1:3" ht="18" customHeight="1" x14ac:dyDescent="0.35">
      <c r="A581">
        <v>1.5</v>
      </c>
      <c r="B581">
        <v>1.5</v>
      </c>
      <c r="C581" t="s">
        <v>400</v>
      </c>
    </row>
    <row r="582" spans="1:3" ht="18" customHeight="1" x14ac:dyDescent="0.35">
      <c r="A582">
        <v>0.90878877999999996</v>
      </c>
      <c r="B582">
        <f>NORMDIST(B579,B580,B581,TRUE)</f>
        <v>0.90878878027413212</v>
      </c>
      <c r="C582" t="s">
        <v>401</v>
      </c>
    </row>
    <row r="583" spans="1:3" ht="18" customHeight="1" x14ac:dyDescent="0.35">
      <c r="A583">
        <v>0.10934004999999999</v>
      </c>
      <c r="B583">
        <f>NORMDIST(B579,B580,B581,FALSE)</f>
        <v>0.10934004978399575</v>
      </c>
      <c r="C583" t="s">
        <v>402</v>
      </c>
    </row>
    <row r="585" spans="1:3" s="4" customFormat="1" ht="18" customHeight="1" x14ac:dyDescent="0.35">
      <c r="A585" s="4" t="s">
        <v>403</v>
      </c>
      <c r="B585" s="4" t="s">
        <v>403</v>
      </c>
      <c r="C585" s="4" t="s">
        <v>404</v>
      </c>
    </row>
    <row r="586" spans="1:3" ht="18" customHeight="1" x14ac:dyDescent="0.35">
      <c r="A586">
        <v>0.90878899999999996</v>
      </c>
      <c r="B586">
        <v>0.90878899999999996</v>
      </c>
      <c r="C586" t="s">
        <v>405</v>
      </c>
    </row>
    <row r="587" spans="1:3" ht="18" customHeight="1" x14ac:dyDescent="0.35">
      <c r="A587">
        <v>40</v>
      </c>
      <c r="B587">
        <v>40</v>
      </c>
      <c r="C587" t="s">
        <v>399</v>
      </c>
    </row>
    <row r="588" spans="1:3" ht="18" customHeight="1" x14ac:dyDescent="0.35">
      <c r="A588">
        <v>1.5</v>
      </c>
      <c r="B588">
        <v>1.5</v>
      </c>
      <c r="C588" t="s">
        <v>400</v>
      </c>
    </row>
    <row r="589" spans="1:3" ht="18" customHeight="1" x14ac:dyDescent="0.35">
      <c r="A589">
        <v>42.000002010000003</v>
      </c>
      <c r="B589">
        <f>NORMINV(B586,B587,B588)</f>
        <v>42.00000200956616</v>
      </c>
      <c r="C589" t="s">
        <v>406</v>
      </c>
    </row>
    <row r="591" spans="1:3" s="4" customFormat="1" ht="18" customHeight="1" x14ac:dyDescent="0.35">
      <c r="A591" s="4" t="s">
        <v>407</v>
      </c>
      <c r="B591" s="4" t="s">
        <v>407</v>
      </c>
      <c r="C591" s="4" t="s">
        <v>407</v>
      </c>
    </row>
    <row r="592" spans="1:3" ht="18" customHeight="1" x14ac:dyDescent="0.35">
      <c r="A592" t="b">
        <v>1</v>
      </c>
      <c r="B592" t="b">
        <f>NOT(FALSE)</f>
        <v>1</v>
      </c>
      <c r="C592" t="s">
        <v>408</v>
      </c>
    </row>
    <row r="593" spans="1:3" ht="18" customHeight="1" x14ac:dyDescent="0.35">
      <c r="A593" t="b">
        <v>0</v>
      </c>
      <c r="B593" t="b">
        <f>NOT(1+1=2)</f>
        <v>0</v>
      </c>
      <c r="C593" t="s">
        <v>409</v>
      </c>
    </row>
    <row r="595" spans="1:3" s="4" customFormat="1" ht="18" customHeight="1" x14ac:dyDescent="0.35">
      <c r="A595" s="4" t="s">
        <v>410</v>
      </c>
      <c r="B595" s="4" t="s">
        <v>410</v>
      </c>
      <c r="C595" s="4" t="s">
        <v>410</v>
      </c>
    </row>
    <row r="596" spans="1:3" ht="18" customHeight="1" x14ac:dyDescent="0.35">
      <c r="A596">
        <v>38288.201388888898</v>
      </c>
      <c r="B596">
        <f ca="1">NOW()</f>
        <v>42499.681048726852</v>
      </c>
      <c r="C596" t="s">
        <v>411</v>
      </c>
    </row>
    <row r="598" spans="1:3" s="4" customFormat="1" ht="18" customHeight="1" x14ac:dyDescent="0.35">
      <c r="A598" s="4" t="s">
        <v>412</v>
      </c>
      <c r="B598" s="4" t="s">
        <v>412</v>
      </c>
      <c r="C598" s="4" t="s">
        <v>413</v>
      </c>
    </row>
    <row r="599" spans="1:3" ht="18" customHeight="1" x14ac:dyDescent="0.35">
      <c r="A599">
        <v>0.12</v>
      </c>
      <c r="B599">
        <v>0.12</v>
      </c>
      <c r="C599" t="s">
        <v>219</v>
      </c>
    </row>
    <row r="600" spans="1:3" ht="18" customHeight="1" x14ac:dyDescent="0.35">
      <c r="A600">
        <v>-100</v>
      </c>
      <c r="B600">
        <v>-100</v>
      </c>
      <c r="C600" t="s">
        <v>414</v>
      </c>
    </row>
    <row r="601" spans="1:3" ht="18" customHeight="1" x14ac:dyDescent="0.35">
      <c r="A601">
        <v>-1000</v>
      </c>
      <c r="B601">
        <v>-1000</v>
      </c>
      <c r="C601" t="s">
        <v>222</v>
      </c>
    </row>
    <row r="602" spans="1:3" ht="18" customHeight="1" x14ac:dyDescent="0.35">
      <c r="A602">
        <v>10000</v>
      </c>
      <c r="B602">
        <v>10000</v>
      </c>
      <c r="C602" t="s">
        <v>415</v>
      </c>
    </row>
    <row r="603" spans="1:3" ht="18" customHeight="1" x14ac:dyDescent="0.35">
      <c r="A603">
        <v>1</v>
      </c>
      <c r="B603">
        <v>1</v>
      </c>
      <c r="C603" t="s">
        <v>223</v>
      </c>
    </row>
    <row r="604" spans="1:3" ht="18" customHeight="1" x14ac:dyDescent="0.35">
      <c r="A604">
        <v>59.673865669999998</v>
      </c>
      <c r="B604">
        <f>NPER(B599/12, B600, B601, B602, 1)</f>
        <v>59.673865674294568</v>
      </c>
      <c r="C604" t="s">
        <v>416</v>
      </c>
    </row>
    <row r="605" spans="1:3" ht="18" customHeight="1" x14ac:dyDescent="0.35">
      <c r="A605">
        <v>60.082122849999998</v>
      </c>
      <c r="B605">
        <f>NPER(B599/12, B600, B601, B602)</f>
        <v>60.082122853761661</v>
      </c>
      <c r="C605" t="s">
        <v>417</v>
      </c>
    </row>
    <row r="606" spans="1:3" ht="18" customHeight="1" x14ac:dyDescent="0.35">
      <c r="A606">
        <v>-9.5785940400000005</v>
      </c>
      <c r="B606">
        <f>NPER(B599/12, B600, B601)</f>
        <v>-9.5785940398131615</v>
      </c>
      <c r="C606" t="s">
        <v>418</v>
      </c>
    </row>
    <row r="608" spans="1:3" s="4" customFormat="1" ht="18" customHeight="1" x14ac:dyDescent="0.35">
      <c r="A608" s="4" t="s">
        <v>419</v>
      </c>
      <c r="B608" s="4" t="s">
        <v>419</v>
      </c>
      <c r="C608" s="4" t="s">
        <v>420</v>
      </c>
    </row>
    <row r="609" spans="1:3" ht="18" customHeight="1" x14ac:dyDescent="0.35">
      <c r="A609">
        <v>0.1</v>
      </c>
      <c r="B609">
        <v>0.1</v>
      </c>
      <c r="C609" t="s">
        <v>421</v>
      </c>
    </row>
    <row r="610" spans="1:3" ht="18" customHeight="1" x14ac:dyDescent="0.35">
      <c r="A610">
        <v>-10000</v>
      </c>
      <c r="B610">
        <v>-10000</v>
      </c>
      <c r="C610" t="s">
        <v>422</v>
      </c>
    </row>
    <row r="611" spans="1:3" ht="18" customHeight="1" x14ac:dyDescent="0.35">
      <c r="A611">
        <v>3000</v>
      </c>
      <c r="B611">
        <v>3000</v>
      </c>
      <c r="C611" t="s">
        <v>423</v>
      </c>
    </row>
    <row r="612" spans="1:3" ht="18" customHeight="1" x14ac:dyDescent="0.35">
      <c r="A612">
        <v>4200</v>
      </c>
      <c r="B612">
        <v>4200</v>
      </c>
      <c r="C612" t="s">
        <v>424</v>
      </c>
    </row>
    <row r="613" spans="1:3" ht="18" customHeight="1" x14ac:dyDescent="0.35">
      <c r="A613">
        <v>6800</v>
      </c>
      <c r="B613">
        <v>6800</v>
      </c>
      <c r="C613" t="s">
        <v>425</v>
      </c>
    </row>
    <row r="614" spans="1:3" ht="18" customHeight="1" x14ac:dyDescent="0.35">
      <c r="A614">
        <v>1188.4434123349999</v>
      </c>
      <c r="B614">
        <f>NPV(B609, B610, B611, B612, B613)</f>
        <v>1188.4434123352207</v>
      </c>
      <c r="C614" t="s">
        <v>426</v>
      </c>
    </row>
    <row r="615" spans="1:3" ht="18" customHeight="1" x14ac:dyDescent="0.35">
      <c r="A615">
        <v>0.08</v>
      </c>
      <c r="B615">
        <v>0.08</v>
      </c>
      <c r="C615" t="s">
        <v>427</v>
      </c>
    </row>
    <row r="616" spans="1:3" ht="18" customHeight="1" x14ac:dyDescent="0.35">
      <c r="A616">
        <v>-40000</v>
      </c>
      <c r="B616">
        <v>-40000</v>
      </c>
      <c r="C616" t="s">
        <v>428</v>
      </c>
    </row>
    <row r="617" spans="1:3" ht="18" customHeight="1" x14ac:dyDescent="0.35">
      <c r="A617">
        <v>8000</v>
      </c>
      <c r="B617">
        <v>8000</v>
      </c>
      <c r="C617" t="s">
        <v>423</v>
      </c>
    </row>
    <row r="618" spans="1:3" ht="18" customHeight="1" x14ac:dyDescent="0.35">
      <c r="A618">
        <v>9200</v>
      </c>
      <c r="B618">
        <v>9200</v>
      </c>
      <c r="C618" t="s">
        <v>424</v>
      </c>
    </row>
    <row r="619" spans="1:3" ht="18" customHeight="1" x14ac:dyDescent="0.35">
      <c r="A619">
        <v>10000</v>
      </c>
      <c r="B619">
        <v>10000</v>
      </c>
      <c r="C619" t="s">
        <v>425</v>
      </c>
    </row>
    <row r="620" spans="1:3" ht="18" customHeight="1" x14ac:dyDescent="0.35">
      <c r="A620">
        <v>12000</v>
      </c>
      <c r="B620">
        <v>12000</v>
      </c>
      <c r="C620" t="s">
        <v>429</v>
      </c>
    </row>
    <row r="621" spans="1:3" ht="18" customHeight="1" x14ac:dyDescent="0.35">
      <c r="A621">
        <v>14500</v>
      </c>
      <c r="B621">
        <v>14500</v>
      </c>
      <c r="C621" t="s">
        <v>430</v>
      </c>
    </row>
    <row r="622" spans="1:3" ht="18" customHeight="1" x14ac:dyDescent="0.35">
      <c r="A622">
        <v>1922.061554932</v>
      </c>
      <c r="B622">
        <f>NPV(B615, B617:B621)+B616</f>
        <v>1922.0615549323702</v>
      </c>
      <c r="C622" t="s">
        <v>431</v>
      </c>
    </row>
    <row r="623" spans="1:3" ht="18" customHeight="1" x14ac:dyDescent="0.35">
      <c r="A623">
        <v>-3749.4650870179998</v>
      </c>
      <c r="B623">
        <f>NPV(B615, B617:B621, -9000)+B616</f>
        <v>-3749.4650870155747</v>
      </c>
      <c r="C623" t="s">
        <v>432</v>
      </c>
    </row>
    <row r="625" spans="1:3" s="4" customFormat="1" ht="18" customHeight="1" x14ac:dyDescent="0.35">
      <c r="A625" s="4" t="s">
        <v>433</v>
      </c>
      <c r="B625" s="4" t="s">
        <v>433</v>
      </c>
      <c r="C625" s="4" t="s">
        <v>434</v>
      </c>
    </row>
    <row r="626" spans="1:3" ht="18" customHeight="1" x14ac:dyDescent="0.35">
      <c r="A626">
        <v>3</v>
      </c>
      <c r="B626">
        <f>ODD(1.5)</f>
        <v>3</v>
      </c>
      <c r="C626" t="s">
        <v>435</v>
      </c>
    </row>
    <row r="627" spans="1:3" ht="18" customHeight="1" x14ac:dyDescent="0.35">
      <c r="A627">
        <v>3</v>
      </c>
      <c r="B627">
        <f>ODD(3)</f>
        <v>3</v>
      </c>
      <c r="C627" t="s">
        <v>436</v>
      </c>
    </row>
    <row r="628" spans="1:3" ht="18" customHeight="1" x14ac:dyDescent="0.35">
      <c r="A628">
        <v>3</v>
      </c>
      <c r="B628">
        <f>ODD(2)</f>
        <v>3</v>
      </c>
      <c r="C628" t="s">
        <v>437</v>
      </c>
    </row>
    <row r="629" spans="1:3" ht="18" customHeight="1" x14ac:dyDescent="0.35">
      <c r="A629">
        <v>-1</v>
      </c>
      <c r="B629">
        <f>ODD(-1)</f>
        <v>-1</v>
      </c>
      <c r="C629" t="s">
        <v>438</v>
      </c>
    </row>
    <row r="630" spans="1:3" ht="18" customHeight="1" x14ac:dyDescent="0.35">
      <c r="A630">
        <v>-3</v>
      </c>
      <c r="B630">
        <f>ODD(-2)</f>
        <v>-3</v>
      </c>
      <c r="C630" t="s">
        <v>439</v>
      </c>
    </row>
    <row r="632" spans="1:3" s="4" customFormat="1" ht="18" customHeight="1" x14ac:dyDescent="0.35">
      <c r="A632" s="4" t="s">
        <v>440</v>
      </c>
      <c r="B632" s="4" t="s">
        <v>440</v>
      </c>
      <c r="C632" s="4" t="s">
        <v>440</v>
      </c>
    </row>
    <row r="633" spans="1:3" ht="18" customHeight="1" x14ac:dyDescent="0.35">
      <c r="A633" t="b">
        <v>1</v>
      </c>
      <c r="B633" t="b">
        <f>OR(TRUE)</f>
        <v>1</v>
      </c>
      <c r="C633" t="s">
        <v>441</v>
      </c>
    </row>
    <row r="634" spans="1:3" ht="18" customHeight="1" x14ac:dyDescent="0.35">
      <c r="A634" t="b">
        <v>0</v>
      </c>
      <c r="B634" t="b">
        <f>OR(1+1=1,2+2=5)</f>
        <v>0</v>
      </c>
      <c r="C634" t="s">
        <v>442</v>
      </c>
    </row>
    <row r="635" spans="1:3" ht="18" customHeight="1" x14ac:dyDescent="0.35">
      <c r="A635" t="b">
        <v>1</v>
      </c>
      <c r="B635" t="b">
        <f>OR(TRUE,FALSE,TRUE)</f>
        <v>1</v>
      </c>
      <c r="C635" t="s">
        <v>443</v>
      </c>
    </row>
    <row r="637" spans="1:3" s="4" customFormat="1" ht="18" customHeight="1" x14ac:dyDescent="0.35">
      <c r="A637" s="4" t="s">
        <v>444</v>
      </c>
      <c r="B637" s="4" t="s">
        <v>444</v>
      </c>
      <c r="C637" s="4" t="s">
        <v>445</v>
      </c>
    </row>
    <row r="638" spans="1:3" ht="18" customHeight="1" x14ac:dyDescent="0.35">
      <c r="A638">
        <v>9</v>
      </c>
      <c r="B638">
        <v>9</v>
      </c>
      <c r="C638">
        <v>10</v>
      </c>
    </row>
    <row r="639" spans="1:3" ht="18" customHeight="1" x14ac:dyDescent="0.35">
      <c r="A639">
        <v>7</v>
      </c>
      <c r="B639">
        <v>7</v>
      </c>
      <c r="C639">
        <v>6</v>
      </c>
    </row>
    <row r="640" spans="1:3" ht="18" customHeight="1" x14ac:dyDescent="0.35">
      <c r="A640">
        <v>5</v>
      </c>
      <c r="B640">
        <v>5</v>
      </c>
      <c r="C640">
        <v>1</v>
      </c>
    </row>
    <row r="641" spans="1:3" ht="18" customHeight="1" x14ac:dyDescent="0.35">
      <c r="A641">
        <v>3</v>
      </c>
      <c r="B641">
        <v>3</v>
      </c>
      <c r="C641">
        <v>5</v>
      </c>
    </row>
    <row r="642" spans="1:3" ht="18" customHeight="1" x14ac:dyDescent="0.35">
      <c r="A642">
        <v>1</v>
      </c>
      <c r="B642">
        <v>1</v>
      </c>
      <c r="C642">
        <v>3</v>
      </c>
    </row>
    <row r="643" spans="1:3" ht="18" customHeight="1" x14ac:dyDescent="0.35">
      <c r="A643">
        <v>0.69937860600000001</v>
      </c>
      <c r="B643">
        <f>PEARSON(B638:B642,C638:C642)</f>
        <v>0.69937860618023528</v>
      </c>
      <c r="C643" t="s">
        <v>446</v>
      </c>
    </row>
    <row r="645" spans="1:3" s="4" customFormat="1" ht="18" customHeight="1" x14ac:dyDescent="0.35">
      <c r="A645" s="4" t="s">
        <v>447</v>
      </c>
      <c r="B645" s="4" t="s">
        <v>447</v>
      </c>
      <c r="C645" s="4" t="s">
        <v>447</v>
      </c>
    </row>
    <row r="646" spans="1:3" ht="18" customHeight="1" x14ac:dyDescent="0.35">
      <c r="A646">
        <v>1</v>
      </c>
      <c r="B646">
        <v>1</v>
      </c>
    </row>
    <row r="647" spans="1:3" ht="18" customHeight="1" x14ac:dyDescent="0.35">
      <c r="A647">
        <v>3</v>
      </c>
      <c r="B647">
        <v>3</v>
      </c>
    </row>
    <row r="648" spans="1:3" ht="18" customHeight="1" x14ac:dyDescent="0.35">
      <c r="A648">
        <v>2</v>
      </c>
      <c r="B648">
        <v>2</v>
      </c>
    </row>
    <row r="649" spans="1:3" ht="18" customHeight="1" x14ac:dyDescent="0.35">
      <c r="A649">
        <v>4</v>
      </c>
      <c r="B649">
        <v>4</v>
      </c>
    </row>
    <row r="650" spans="1:3" ht="18" customHeight="1" x14ac:dyDescent="0.35">
      <c r="A650">
        <v>1.9</v>
      </c>
      <c r="B650">
        <f>PERCENTILE(B646:B649,0.3)</f>
        <v>1.9</v>
      </c>
      <c r="C650" t="s">
        <v>448</v>
      </c>
    </row>
    <row r="652" spans="1:3" s="4" customFormat="1" ht="18" customHeight="1" x14ac:dyDescent="0.35">
      <c r="A652" s="4" t="s">
        <v>449</v>
      </c>
      <c r="B652" s="4" t="s">
        <v>449</v>
      </c>
      <c r="C652" s="4" t="s">
        <v>450</v>
      </c>
    </row>
    <row r="653" spans="1:3" ht="18" customHeight="1" x14ac:dyDescent="0.35">
      <c r="A653">
        <v>13</v>
      </c>
      <c r="B653">
        <v>13</v>
      </c>
    </row>
    <row r="654" spans="1:3" ht="18" customHeight="1" x14ac:dyDescent="0.35">
      <c r="A654">
        <v>12</v>
      </c>
      <c r="B654">
        <v>12</v>
      </c>
    </row>
    <row r="655" spans="1:3" ht="18" customHeight="1" x14ac:dyDescent="0.35">
      <c r="A655">
        <v>11</v>
      </c>
      <c r="B655">
        <v>11</v>
      </c>
    </row>
    <row r="656" spans="1:3" ht="18" customHeight="1" x14ac:dyDescent="0.35">
      <c r="A656">
        <v>8</v>
      </c>
      <c r="B656">
        <v>8</v>
      </c>
    </row>
    <row r="657" spans="1:3" ht="18" customHeight="1" x14ac:dyDescent="0.35">
      <c r="A657">
        <v>4</v>
      </c>
      <c r="B657">
        <v>4</v>
      </c>
    </row>
    <row r="658" spans="1:3" ht="18" customHeight="1" x14ac:dyDescent="0.35">
      <c r="A658">
        <v>3</v>
      </c>
      <c r="B658">
        <v>3</v>
      </c>
    </row>
    <row r="659" spans="1:3" ht="18" customHeight="1" x14ac:dyDescent="0.35">
      <c r="A659">
        <v>2</v>
      </c>
      <c r="B659">
        <v>2</v>
      </c>
    </row>
    <row r="660" spans="1:3" ht="18" customHeight="1" x14ac:dyDescent="0.35">
      <c r="A660">
        <v>1</v>
      </c>
      <c r="B660">
        <v>1</v>
      </c>
    </row>
    <row r="661" spans="1:3" ht="18" customHeight="1" x14ac:dyDescent="0.35">
      <c r="A661">
        <v>1</v>
      </c>
      <c r="B661">
        <v>1</v>
      </c>
    </row>
    <row r="662" spans="1:3" ht="18" customHeight="1" x14ac:dyDescent="0.35">
      <c r="A662">
        <v>1</v>
      </c>
      <c r="B662">
        <v>1</v>
      </c>
    </row>
    <row r="663" spans="1:3" ht="18" customHeight="1" x14ac:dyDescent="0.35">
      <c r="A663">
        <v>0.33300000000000002</v>
      </c>
      <c r="B663">
        <f>PERCENTRANK(B653:B662,2)</f>
        <v>0.33300000000000002</v>
      </c>
      <c r="C663" t="s">
        <v>451</v>
      </c>
    </row>
    <row r="664" spans="1:3" ht="18" customHeight="1" x14ac:dyDescent="0.35">
      <c r="A664">
        <v>0.55500000000000005</v>
      </c>
      <c r="B664">
        <f>PERCENTRANK(B653:B662,4)</f>
        <v>0.55500000000000005</v>
      </c>
      <c r="C664" t="s">
        <v>452</v>
      </c>
    </row>
    <row r="665" spans="1:3" ht="18" customHeight="1" x14ac:dyDescent="0.35">
      <c r="A665">
        <v>0.66600000000000004</v>
      </c>
      <c r="B665">
        <f>PERCENTRANK(B653:B662,8)</f>
        <v>0.66600000000000004</v>
      </c>
      <c r="C665" t="s">
        <v>453</v>
      </c>
    </row>
    <row r="666" spans="1:3" ht="18" customHeight="1" x14ac:dyDescent="0.35">
      <c r="A666">
        <v>0.58299999999999996</v>
      </c>
      <c r="B666">
        <f>PERCENTRANK(B653:B662,5)</f>
        <v>0.58299999999999996</v>
      </c>
      <c r="C666" t="s">
        <v>454</v>
      </c>
    </row>
    <row r="668" spans="1:3" s="4" customFormat="1" ht="18" customHeight="1" x14ac:dyDescent="0.35">
      <c r="A668" s="4" t="s">
        <v>455</v>
      </c>
      <c r="B668" s="4" t="s">
        <v>455</v>
      </c>
      <c r="C668" s="4" t="s">
        <v>456</v>
      </c>
    </row>
    <row r="669" spans="1:3" ht="18" customHeight="1" x14ac:dyDescent="0.35">
      <c r="A669">
        <v>100</v>
      </c>
      <c r="B669">
        <v>100</v>
      </c>
      <c r="C669" t="s">
        <v>457</v>
      </c>
    </row>
    <row r="670" spans="1:3" ht="18" customHeight="1" x14ac:dyDescent="0.35">
      <c r="A670">
        <v>3</v>
      </c>
      <c r="B670">
        <v>3</v>
      </c>
      <c r="C670" t="s">
        <v>458</v>
      </c>
    </row>
    <row r="671" spans="1:3" ht="18" customHeight="1" x14ac:dyDescent="0.35">
      <c r="A671">
        <v>970200</v>
      </c>
      <c r="B671">
        <f>PERMUT(B669,B670)</f>
        <v>970200</v>
      </c>
      <c r="C671" t="s">
        <v>459</v>
      </c>
    </row>
    <row r="673" spans="1:3" ht="18" customHeight="1" x14ac:dyDescent="0.35">
      <c r="A673" t="s">
        <v>460</v>
      </c>
      <c r="B673" t="s">
        <v>460</v>
      </c>
      <c r="C673" t="s">
        <v>460</v>
      </c>
    </row>
    <row r="674" spans="1:3" ht="18" customHeight="1" x14ac:dyDescent="0.35">
      <c r="A674">
        <v>3</v>
      </c>
      <c r="B674">
        <v>3</v>
      </c>
    </row>
    <row r="675" spans="1:3" ht="18" customHeight="1" x14ac:dyDescent="0.35">
      <c r="A675">
        <v>3.1415926540000001</v>
      </c>
      <c r="B675">
        <f>PI()</f>
        <v>3.1415926535897931</v>
      </c>
      <c r="C675" t="s">
        <v>461</v>
      </c>
    </row>
    <row r="676" spans="1:3" ht="18" customHeight="1" x14ac:dyDescent="0.35">
      <c r="A676">
        <v>1.570796327</v>
      </c>
      <c r="B676">
        <f>PI()/2</f>
        <v>1.5707963267948966</v>
      </c>
      <c r="C676" t="s">
        <v>462</v>
      </c>
    </row>
    <row r="677" spans="1:3" ht="18" customHeight="1" x14ac:dyDescent="0.35">
      <c r="A677">
        <v>28.27433388</v>
      </c>
      <c r="B677">
        <f>PI()*(B674^2)</f>
        <v>28.274333882308138</v>
      </c>
      <c r="C677" t="s">
        <v>463</v>
      </c>
    </row>
    <row r="679" spans="1:3" ht="18" customHeight="1" x14ac:dyDescent="0.35">
      <c r="A679" t="s">
        <v>464</v>
      </c>
      <c r="B679" t="s">
        <v>464</v>
      </c>
      <c r="C679" t="s">
        <v>465</v>
      </c>
    </row>
    <row r="680" spans="1:3" ht="18" customHeight="1" x14ac:dyDescent="0.35">
      <c r="A680">
        <v>0.08</v>
      </c>
      <c r="B680">
        <v>0.08</v>
      </c>
      <c r="C680" t="s">
        <v>219</v>
      </c>
    </row>
    <row r="681" spans="1:3" ht="18" customHeight="1" x14ac:dyDescent="0.35">
      <c r="A681">
        <v>10</v>
      </c>
      <c r="B681">
        <v>10</v>
      </c>
      <c r="C681" t="s">
        <v>466</v>
      </c>
    </row>
    <row r="682" spans="1:3" ht="18" customHeight="1" x14ac:dyDescent="0.35">
      <c r="A682">
        <v>10000</v>
      </c>
      <c r="B682">
        <v>10000</v>
      </c>
      <c r="C682" t="s">
        <v>308</v>
      </c>
    </row>
    <row r="683" spans="1:3" ht="18" customHeight="1" x14ac:dyDescent="0.35">
      <c r="A683">
        <v>-1037.0320893590001</v>
      </c>
      <c r="B683">
        <f>PMT(B680/12, B681, B682)</f>
        <v>-1037.0320893591522</v>
      </c>
      <c r="C683" t="s">
        <v>467</v>
      </c>
    </row>
    <row r="684" spans="1:3" ht="18" customHeight="1" x14ac:dyDescent="0.35">
      <c r="A684">
        <v>-1030.1643271779999</v>
      </c>
      <c r="B684">
        <f>PMT(B680/12, B681, B682, 0, 1)</f>
        <v>-1030.1643271779658</v>
      </c>
      <c r="C684" t="s">
        <v>468</v>
      </c>
    </row>
    <row r="685" spans="1:3" ht="18" customHeight="1" x14ac:dyDescent="0.35">
      <c r="A685">
        <v>0.06</v>
      </c>
      <c r="B685">
        <v>0.06</v>
      </c>
      <c r="C685" t="s">
        <v>219</v>
      </c>
    </row>
    <row r="686" spans="1:3" ht="18" customHeight="1" x14ac:dyDescent="0.35">
      <c r="A686">
        <v>18</v>
      </c>
      <c r="B686">
        <v>18</v>
      </c>
      <c r="C686" t="s">
        <v>469</v>
      </c>
    </row>
    <row r="687" spans="1:3" ht="18" customHeight="1" x14ac:dyDescent="0.35">
      <c r="A687">
        <v>50000</v>
      </c>
      <c r="B687">
        <v>50000</v>
      </c>
      <c r="C687" t="s">
        <v>470</v>
      </c>
    </row>
    <row r="688" spans="1:3" ht="18" customHeight="1" x14ac:dyDescent="0.35">
      <c r="A688">
        <v>-129.08116086800001</v>
      </c>
      <c r="B688">
        <f>PMT(B685/12, B686*12, 0, B687)</f>
        <v>-129.08116086799092</v>
      </c>
      <c r="C688" t="s">
        <v>471</v>
      </c>
    </row>
    <row r="690" spans="1:3" s="4" customFormat="1" ht="18" customHeight="1" x14ac:dyDescent="0.35">
      <c r="A690" s="4" t="s">
        <v>472</v>
      </c>
      <c r="B690" s="4" t="s">
        <v>472</v>
      </c>
      <c r="C690" s="4" t="s">
        <v>473</v>
      </c>
    </row>
    <row r="691" spans="1:3" ht="18" customHeight="1" x14ac:dyDescent="0.35">
      <c r="A691">
        <v>2</v>
      </c>
      <c r="B691">
        <v>2</v>
      </c>
      <c r="C691" t="s">
        <v>474</v>
      </c>
    </row>
    <row r="692" spans="1:3" ht="18" customHeight="1" x14ac:dyDescent="0.35">
      <c r="A692">
        <v>5</v>
      </c>
      <c r="B692">
        <v>5</v>
      </c>
      <c r="C692" t="s">
        <v>475</v>
      </c>
    </row>
    <row r="693" spans="1:3" ht="18" customHeight="1" x14ac:dyDescent="0.35">
      <c r="A693">
        <v>0.124652019</v>
      </c>
      <c r="B693">
        <f>POISSON(B691,B692,TRUE)</f>
        <v>0.12465201948308113</v>
      </c>
      <c r="C693" t="s">
        <v>476</v>
      </c>
    </row>
    <row r="694" spans="1:3" ht="18" customHeight="1" x14ac:dyDescent="0.35">
      <c r="A694">
        <v>8.4224336999999996E-2</v>
      </c>
      <c r="B694">
        <f>POISSON(B691,B692,FALSE)</f>
        <v>8.4224337488568335E-2</v>
      </c>
      <c r="C694" t="s">
        <v>477</v>
      </c>
    </row>
    <row r="696" spans="1:3" s="4" customFormat="1" ht="18" customHeight="1" x14ac:dyDescent="0.35">
      <c r="A696" s="4" t="s">
        <v>478</v>
      </c>
      <c r="B696" s="4" t="s">
        <v>478</v>
      </c>
      <c r="C696" s="4" t="s">
        <v>478</v>
      </c>
    </row>
    <row r="697" spans="1:3" ht="18" customHeight="1" x14ac:dyDescent="0.35">
      <c r="A697">
        <v>25</v>
      </c>
      <c r="B697">
        <f>POWER(5,2)</f>
        <v>25</v>
      </c>
      <c r="C697" t="s">
        <v>479</v>
      </c>
    </row>
    <row r="698" spans="1:3" ht="18" customHeight="1" x14ac:dyDescent="0.35">
      <c r="A698">
        <v>2401077.2220000001</v>
      </c>
      <c r="B698">
        <f>POWER(98.6,3.2)</f>
        <v>2401077.2220695755</v>
      </c>
      <c r="C698" t="s">
        <v>480</v>
      </c>
    </row>
    <row r="699" spans="1:3" ht="18" customHeight="1" x14ac:dyDescent="0.35">
      <c r="A699">
        <v>5.6568542490000002</v>
      </c>
      <c r="B699">
        <f>POWER(4,5/4)</f>
        <v>5.6568542494923806</v>
      </c>
      <c r="C699" t="s">
        <v>481</v>
      </c>
    </row>
    <row r="701" spans="1:3" s="4" customFormat="1" ht="18" customHeight="1" x14ac:dyDescent="0.35">
      <c r="A701" s="4" t="s">
        <v>482</v>
      </c>
      <c r="B701" s="4" t="s">
        <v>482</v>
      </c>
      <c r="C701" s="4" t="s">
        <v>483</v>
      </c>
    </row>
    <row r="702" spans="1:3" ht="18" customHeight="1" x14ac:dyDescent="0.35">
      <c r="A702">
        <v>0.1</v>
      </c>
      <c r="B702">
        <v>0.1</v>
      </c>
      <c r="C702" t="s">
        <v>219</v>
      </c>
    </row>
    <row r="703" spans="1:3" ht="18" customHeight="1" x14ac:dyDescent="0.35">
      <c r="A703">
        <v>2</v>
      </c>
      <c r="B703">
        <v>2</v>
      </c>
      <c r="C703" t="s">
        <v>484</v>
      </c>
    </row>
    <row r="704" spans="1:3" ht="18" customHeight="1" x14ac:dyDescent="0.35">
      <c r="A704">
        <v>2000</v>
      </c>
      <c r="B704">
        <v>2000</v>
      </c>
      <c r="C704" t="s">
        <v>308</v>
      </c>
    </row>
    <row r="705" spans="1:3" ht="18" customHeight="1" x14ac:dyDescent="0.35">
      <c r="A705">
        <v>-75.623186008000005</v>
      </c>
      <c r="B705">
        <f>PPMT(B702/12, 1, B703*12, B704)</f>
        <v>-75.623186008366332</v>
      </c>
      <c r="C705" t="s">
        <v>485</v>
      </c>
    </row>
    <row r="706" spans="1:3" ht="18" customHeight="1" x14ac:dyDescent="0.35">
      <c r="A706">
        <v>0.08</v>
      </c>
      <c r="B706">
        <v>0.08</v>
      </c>
      <c r="C706" t="s">
        <v>219</v>
      </c>
    </row>
    <row r="707" spans="1:3" ht="18" customHeight="1" x14ac:dyDescent="0.35">
      <c r="A707">
        <v>10</v>
      </c>
      <c r="B707">
        <v>10</v>
      </c>
      <c r="C707" t="s">
        <v>484</v>
      </c>
    </row>
    <row r="708" spans="1:3" ht="18" customHeight="1" x14ac:dyDescent="0.35">
      <c r="A708">
        <v>200000</v>
      </c>
      <c r="B708">
        <v>200000</v>
      </c>
      <c r="C708" t="s">
        <v>308</v>
      </c>
    </row>
    <row r="709" spans="1:3" ht="18" customHeight="1" x14ac:dyDescent="0.35">
      <c r="A709">
        <v>-27598.053462421001</v>
      </c>
      <c r="B709">
        <f>PPMT(B706, B707, 10, B708)</f>
        <v>-27598.053462421372</v>
      </c>
      <c r="C709" t="s">
        <v>486</v>
      </c>
    </row>
    <row r="711" spans="1:3" s="4" customFormat="1" ht="18" customHeight="1" x14ac:dyDescent="0.35">
      <c r="A711" s="4" t="s">
        <v>487</v>
      </c>
      <c r="B711" s="4" t="s">
        <v>487</v>
      </c>
      <c r="C711" s="4" t="s">
        <v>488</v>
      </c>
    </row>
    <row r="712" spans="1:3" ht="18" customHeight="1" x14ac:dyDescent="0.35">
      <c r="A712">
        <v>0</v>
      </c>
      <c r="B712">
        <v>0</v>
      </c>
      <c r="C712">
        <v>0.2</v>
      </c>
    </row>
    <row r="713" spans="1:3" ht="18" customHeight="1" x14ac:dyDescent="0.35">
      <c r="A713">
        <v>1</v>
      </c>
      <c r="B713">
        <v>1</v>
      </c>
      <c r="C713">
        <v>0.3</v>
      </c>
    </row>
    <row r="714" spans="1:3" ht="18" customHeight="1" x14ac:dyDescent="0.35">
      <c r="A714">
        <v>2</v>
      </c>
      <c r="B714">
        <v>2</v>
      </c>
      <c r="C714">
        <v>0.1</v>
      </c>
    </row>
    <row r="715" spans="1:3" ht="18" customHeight="1" x14ac:dyDescent="0.35">
      <c r="A715">
        <v>3</v>
      </c>
      <c r="B715">
        <v>3</v>
      </c>
      <c r="C715">
        <v>0.4</v>
      </c>
    </row>
    <row r="716" spans="1:3" ht="18" customHeight="1" x14ac:dyDescent="0.35">
      <c r="A716">
        <v>0.1</v>
      </c>
      <c r="B716">
        <f>PROB(B712:B715,C712:C715,2)</f>
        <v>0.1</v>
      </c>
      <c r="C716" t="s">
        <v>489</v>
      </c>
    </row>
    <row r="717" spans="1:3" ht="18" customHeight="1" x14ac:dyDescent="0.35">
      <c r="A717">
        <v>0.8</v>
      </c>
      <c r="B717">
        <f>PROB(B712:B715,C712:C715,1,3)</f>
        <v>0.8</v>
      </c>
      <c r="C717" t="s">
        <v>490</v>
      </c>
    </row>
    <row r="719" spans="1:3" s="4" customFormat="1" ht="18" customHeight="1" x14ac:dyDescent="0.35">
      <c r="A719" s="4" t="s">
        <v>491</v>
      </c>
      <c r="B719" s="4" t="s">
        <v>491</v>
      </c>
      <c r="C719" s="4" t="s">
        <v>491</v>
      </c>
    </row>
    <row r="720" spans="1:3" ht="18" customHeight="1" x14ac:dyDescent="0.35">
      <c r="A720">
        <v>5</v>
      </c>
      <c r="B720">
        <v>5</v>
      </c>
    </row>
    <row r="721" spans="1:3" ht="18" customHeight="1" x14ac:dyDescent="0.35">
      <c r="A721">
        <v>15</v>
      </c>
      <c r="B721">
        <v>15</v>
      </c>
    </row>
    <row r="722" spans="1:3" ht="18" customHeight="1" x14ac:dyDescent="0.35">
      <c r="A722">
        <v>30</v>
      </c>
      <c r="B722">
        <v>30</v>
      </c>
    </row>
    <row r="723" spans="1:3" ht="18" customHeight="1" x14ac:dyDescent="0.35">
      <c r="A723">
        <v>2250</v>
      </c>
      <c r="B723">
        <f>PRODUCT(B720:B722)</f>
        <v>2250</v>
      </c>
      <c r="C723" t="s">
        <v>492</v>
      </c>
    </row>
    <row r="724" spans="1:3" ht="18" customHeight="1" x14ac:dyDescent="0.35">
      <c r="A724">
        <v>4500</v>
      </c>
      <c r="B724">
        <f>PRODUCT(B720:B722, 2)</f>
        <v>4500</v>
      </c>
      <c r="C724" t="s">
        <v>493</v>
      </c>
    </row>
    <row r="726" spans="1:3" s="4" customFormat="1" ht="18" customHeight="1" x14ac:dyDescent="0.35">
      <c r="A726" s="4" t="s">
        <v>494</v>
      </c>
      <c r="B726" s="4" t="s">
        <v>494</v>
      </c>
      <c r="C726" s="4" t="s">
        <v>495</v>
      </c>
    </row>
    <row r="727" spans="1:3" ht="18" customHeight="1" x14ac:dyDescent="0.35">
      <c r="A727">
        <v>500</v>
      </c>
      <c r="B727">
        <v>500</v>
      </c>
      <c r="C727" t="s">
        <v>496</v>
      </c>
    </row>
    <row r="728" spans="1:3" ht="18" customHeight="1" x14ac:dyDescent="0.35">
      <c r="A728">
        <v>0.08</v>
      </c>
      <c r="B728">
        <v>0.08</v>
      </c>
      <c r="C728" t="s">
        <v>497</v>
      </c>
    </row>
    <row r="729" spans="1:3" ht="18" customHeight="1" x14ac:dyDescent="0.35">
      <c r="A729">
        <v>20</v>
      </c>
      <c r="B729">
        <v>20</v>
      </c>
      <c r="C729" t="s">
        <v>498</v>
      </c>
    </row>
    <row r="730" spans="1:3" ht="18" customHeight="1" x14ac:dyDescent="0.35">
      <c r="A730">
        <v>-59777.15</v>
      </c>
      <c r="B730">
        <f>PV(B728/12, 12*B729, B727, , 0)</f>
        <v>-59777.145851187823</v>
      </c>
      <c r="C730" t="s">
        <v>499</v>
      </c>
    </row>
    <row r="732" spans="1:3" s="4" customFormat="1" ht="18" customHeight="1" x14ac:dyDescent="0.35">
      <c r="A732" s="4" t="s">
        <v>500</v>
      </c>
      <c r="B732" s="4" t="s">
        <v>500</v>
      </c>
      <c r="C732" s="4" t="s">
        <v>500</v>
      </c>
    </row>
    <row r="733" spans="1:3" ht="18" customHeight="1" x14ac:dyDescent="0.35">
      <c r="A733">
        <v>1</v>
      </c>
      <c r="B733">
        <v>1</v>
      </c>
    </row>
    <row r="734" spans="1:3" ht="18" customHeight="1" x14ac:dyDescent="0.35">
      <c r="A734">
        <v>2</v>
      </c>
      <c r="B734">
        <v>2</v>
      </c>
    </row>
    <row r="735" spans="1:3" ht="18" customHeight="1" x14ac:dyDescent="0.35">
      <c r="A735">
        <v>4</v>
      </c>
      <c r="B735">
        <v>4</v>
      </c>
    </row>
    <row r="736" spans="1:3" ht="18" customHeight="1" x14ac:dyDescent="0.35">
      <c r="A736">
        <v>7</v>
      </c>
      <c r="B736">
        <v>7</v>
      </c>
    </row>
    <row r="737" spans="1:3" ht="18" customHeight="1" x14ac:dyDescent="0.35">
      <c r="A737">
        <v>8</v>
      </c>
      <c r="B737">
        <v>8</v>
      </c>
    </row>
    <row r="738" spans="1:3" ht="18" customHeight="1" x14ac:dyDescent="0.35">
      <c r="A738">
        <v>9</v>
      </c>
      <c r="B738">
        <v>9</v>
      </c>
    </row>
    <row r="739" spans="1:3" ht="18" customHeight="1" x14ac:dyDescent="0.35">
      <c r="A739">
        <v>10</v>
      </c>
      <c r="B739">
        <v>10</v>
      </c>
    </row>
    <row r="740" spans="1:3" ht="18" customHeight="1" x14ac:dyDescent="0.35">
      <c r="A740">
        <v>12</v>
      </c>
      <c r="B740">
        <v>12</v>
      </c>
    </row>
    <row r="741" spans="1:3" ht="18" customHeight="1" x14ac:dyDescent="0.35">
      <c r="A741">
        <v>3.5</v>
      </c>
      <c r="B741">
        <f>QUARTILE(B733:B740,1)</f>
        <v>3.5</v>
      </c>
      <c r="C741" t="s">
        <v>501</v>
      </c>
    </row>
    <row r="743" spans="1:3" s="4" customFormat="1" ht="18" customHeight="1" x14ac:dyDescent="0.35">
      <c r="A743" s="4" t="s">
        <v>502</v>
      </c>
      <c r="B743" s="4" t="s">
        <v>502</v>
      </c>
      <c r="C743" s="4" t="s">
        <v>502</v>
      </c>
    </row>
    <row r="744" spans="1:3" ht="18" customHeight="1" x14ac:dyDescent="0.35">
      <c r="A744">
        <v>4.7123889800000001</v>
      </c>
      <c r="B744">
        <f>RADIANS(270)</f>
        <v>4.7123889803846897</v>
      </c>
      <c r="C744" t="s">
        <v>503</v>
      </c>
    </row>
    <row r="746" spans="1:3" s="4" customFormat="1" ht="18" customHeight="1" x14ac:dyDescent="0.35">
      <c r="A746" s="4" t="s">
        <v>504</v>
      </c>
      <c r="B746" s="4" t="s">
        <v>504</v>
      </c>
      <c r="C746" s="4" t="s">
        <v>505</v>
      </c>
    </row>
    <row r="747" spans="1:3" ht="18" customHeight="1" x14ac:dyDescent="0.35">
      <c r="A747">
        <v>0.25301158400000001</v>
      </c>
      <c r="B747">
        <f ca="1">RAND()</f>
        <v>0.75275414294971521</v>
      </c>
      <c r="C747" t="s">
        <v>506</v>
      </c>
    </row>
    <row r="748" spans="1:3" ht="18" customHeight="1" x14ac:dyDescent="0.35">
      <c r="A748">
        <v>86.066054510000001</v>
      </c>
      <c r="B748">
        <f ca="1">RAND()*100</f>
        <v>2.6548477532554848</v>
      </c>
      <c r="C748" t="s">
        <v>507</v>
      </c>
    </row>
    <row r="750" spans="1:3" s="4" customFormat="1" ht="18" customHeight="1" x14ac:dyDescent="0.35">
      <c r="A750" s="4" t="s">
        <v>508</v>
      </c>
      <c r="B750" s="4" t="s">
        <v>508</v>
      </c>
      <c r="C750" s="4" t="s">
        <v>508</v>
      </c>
    </row>
    <row r="751" spans="1:3" ht="18" customHeight="1" x14ac:dyDescent="0.35">
      <c r="A751">
        <v>7</v>
      </c>
      <c r="B751">
        <v>7</v>
      </c>
    </row>
    <row r="752" spans="1:3" ht="18" customHeight="1" x14ac:dyDescent="0.35">
      <c r="A752">
        <v>3.5</v>
      </c>
      <c r="B752">
        <v>3.5</v>
      </c>
    </row>
    <row r="753" spans="1:3" ht="18" customHeight="1" x14ac:dyDescent="0.35">
      <c r="A753">
        <v>3.5</v>
      </c>
      <c r="B753">
        <v>3.5</v>
      </c>
    </row>
    <row r="754" spans="1:3" ht="18" customHeight="1" x14ac:dyDescent="0.35">
      <c r="A754">
        <v>1</v>
      </c>
      <c r="B754">
        <v>1</v>
      </c>
    </row>
    <row r="755" spans="1:3" ht="18" customHeight="1" x14ac:dyDescent="0.35">
      <c r="A755">
        <v>2</v>
      </c>
      <c r="B755">
        <v>2</v>
      </c>
    </row>
    <row r="756" spans="1:3" ht="18" customHeight="1" x14ac:dyDescent="0.35">
      <c r="A756">
        <v>3</v>
      </c>
      <c r="B756">
        <f>RANK(B752,B751:B755,1)</f>
        <v>3</v>
      </c>
      <c r="C756" t="s">
        <v>509</v>
      </c>
    </row>
    <row r="757" spans="1:3" ht="18" customHeight="1" x14ac:dyDescent="0.35">
      <c r="A757">
        <v>5</v>
      </c>
      <c r="B757">
        <f>RANK(B751,B751:B755,1)</f>
        <v>5</v>
      </c>
      <c r="C757" t="s">
        <v>510</v>
      </c>
    </row>
    <row r="759" spans="1:3" s="4" customFormat="1" ht="18" customHeight="1" x14ac:dyDescent="0.35">
      <c r="A759" s="4" t="s">
        <v>511</v>
      </c>
      <c r="B759" s="4" t="s">
        <v>511</v>
      </c>
      <c r="C759" s="4" t="s">
        <v>512</v>
      </c>
    </row>
    <row r="760" spans="1:3" ht="18" customHeight="1" x14ac:dyDescent="0.35">
      <c r="A760">
        <v>4</v>
      </c>
      <c r="B760">
        <v>4</v>
      </c>
      <c r="C760" t="s">
        <v>513</v>
      </c>
    </row>
    <row r="761" spans="1:3" ht="18" customHeight="1" x14ac:dyDescent="0.35">
      <c r="A761">
        <v>-200</v>
      </c>
      <c r="B761">
        <v>-200</v>
      </c>
      <c r="C761" t="s">
        <v>514</v>
      </c>
    </row>
    <row r="762" spans="1:3" ht="18" customHeight="1" x14ac:dyDescent="0.35">
      <c r="A762">
        <v>8000</v>
      </c>
      <c r="B762">
        <v>8000</v>
      </c>
      <c r="C762" t="s">
        <v>515</v>
      </c>
    </row>
    <row r="763" spans="1:3" ht="18" customHeight="1" x14ac:dyDescent="0.35">
      <c r="A763">
        <v>7.7014724899999998E-3</v>
      </c>
      <c r="B763">
        <f>RATE(B760*12, B761, B762)</f>
        <v>7.7014724882013682E-3</v>
      </c>
      <c r="C763" t="s">
        <v>516</v>
      </c>
    </row>
    <row r="764" spans="1:3" ht="18" customHeight="1" x14ac:dyDescent="0.35">
      <c r="A764">
        <v>9.2417669999999993E-2</v>
      </c>
      <c r="B764">
        <f>RATE(B760*12, B761, B762)*12</f>
        <v>9.2417669858416415E-2</v>
      </c>
      <c r="C764" t="s">
        <v>517</v>
      </c>
    </row>
    <row r="766" spans="1:3" s="4" customFormat="1" ht="18" customHeight="1" x14ac:dyDescent="0.35">
      <c r="A766" s="4" t="s">
        <v>518</v>
      </c>
      <c r="B766" s="4" t="s">
        <v>518</v>
      </c>
      <c r="C766" s="4" t="s">
        <v>518</v>
      </c>
    </row>
    <row r="767" spans="1:3" ht="18" customHeight="1" x14ac:dyDescent="0.35">
      <c r="A767" t="s">
        <v>318</v>
      </c>
      <c r="B767" t="s">
        <v>318</v>
      </c>
    </row>
    <row r="768" spans="1:3" ht="18" customHeight="1" x14ac:dyDescent="0.35">
      <c r="A768" t="s">
        <v>519</v>
      </c>
      <c r="B768" t="s">
        <v>519</v>
      </c>
    </row>
    <row r="769" spans="1:3" ht="18" customHeight="1" x14ac:dyDescent="0.35">
      <c r="A769" t="s">
        <v>520</v>
      </c>
      <c r="B769" t="str">
        <f>RIGHT(B767,5)</f>
        <v>Price</v>
      </c>
      <c r="C769" t="s">
        <v>521</v>
      </c>
    </row>
    <row r="770" spans="1:3" ht="18" customHeight="1" x14ac:dyDescent="0.35">
      <c r="A770" t="s">
        <v>522</v>
      </c>
      <c r="B770" t="str">
        <f>RIGHT(B768)</f>
        <v>r</v>
      </c>
      <c r="C770" t="s">
        <v>523</v>
      </c>
    </row>
    <row r="772" spans="1:3" s="4" customFormat="1" ht="18" customHeight="1" x14ac:dyDescent="0.35">
      <c r="A772" s="4" t="s">
        <v>524</v>
      </c>
      <c r="B772" s="4" t="s">
        <v>524</v>
      </c>
      <c r="C772" s="4" t="s">
        <v>524</v>
      </c>
    </row>
    <row r="773" spans="1:3" ht="18" customHeight="1" x14ac:dyDescent="0.35">
      <c r="A773">
        <v>2.2000000000000002</v>
      </c>
      <c r="B773">
        <f>ROUND(2.15, 1)</f>
        <v>2.2000000000000002</v>
      </c>
      <c r="C773" t="s">
        <v>525</v>
      </c>
    </row>
    <row r="774" spans="1:3" ht="18" customHeight="1" x14ac:dyDescent="0.35">
      <c r="A774">
        <v>2.1</v>
      </c>
      <c r="B774">
        <f>ROUND(2.149, 1)</f>
        <v>2.1</v>
      </c>
      <c r="C774" t="s">
        <v>526</v>
      </c>
    </row>
    <row r="775" spans="1:3" ht="18" customHeight="1" x14ac:dyDescent="0.35">
      <c r="A775">
        <v>-1.48</v>
      </c>
      <c r="B775">
        <f>ROUND(-1.475, 2)</f>
        <v>-1.48</v>
      </c>
      <c r="C775" t="s">
        <v>527</v>
      </c>
    </row>
    <row r="776" spans="1:3" ht="18" customHeight="1" x14ac:dyDescent="0.35">
      <c r="A776">
        <v>20</v>
      </c>
      <c r="B776">
        <f>ROUND(21.5, -1)</f>
        <v>20</v>
      </c>
      <c r="C776" t="s">
        <v>528</v>
      </c>
    </row>
    <row r="778" spans="1:3" s="4" customFormat="1" ht="18" customHeight="1" x14ac:dyDescent="0.35">
      <c r="A778" s="4" t="s">
        <v>529</v>
      </c>
      <c r="B778" s="4" t="s">
        <v>529</v>
      </c>
      <c r="C778" s="4" t="s">
        <v>529</v>
      </c>
    </row>
    <row r="779" spans="1:3" ht="18" customHeight="1" x14ac:dyDescent="0.35">
      <c r="A779">
        <v>3</v>
      </c>
      <c r="B779">
        <f>ROUNDDOWN(3.2, 0)</f>
        <v>3</v>
      </c>
      <c r="C779" t="s">
        <v>530</v>
      </c>
    </row>
    <row r="780" spans="1:3" ht="18" customHeight="1" x14ac:dyDescent="0.35">
      <c r="A780">
        <v>76</v>
      </c>
      <c r="B780">
        <f>ROUNDDOWN(76.9,0)</f>
        <v>76</v>
      </c>
      <c r="C780" t="s">
        <v>531</v>
      </c>
    </row>
    <row r="781" spans="1:3" ht="18" customHeight="1" x14ac:dyDescent="0.35">
      <c r="A781">
        <v>3.141</v>
      </c>
      <c r="B781">
        <f>ROUNDDOWN(3.14159, 3)</f>
        <v>3.141</v>
      </c>
      <c r="C781" t="s">
        <v>532</v>
      </c>
    </row>
    <row r="782" spans="1:3" ht="18" customHeight="1" x14ac:dyDescent="0.35">
      <c r="A782">
        <v>-3.1</v>
      </c>
      <c r="B782">
        <f>ROUNDDOWN(-3.14159, 1)</f>
        <v>-3.1</v>
      </c>
      <c r="C782" t="s">
        <v>533</v>
      </c>
    </row>
    <row r="783" spans="1:3" ht="18" customHeight="1" x14ac:dyDescent="0.35">
      <c r="A783">
        <v>31400</v>
      </c>
      <c r="B783">
        <f>ROUNDDOWN(31415.92654, -2)</f>
        <v>31400</v>
      </c>
      <c r="C783" t="s">
        <v>534</v>
      </c>
    </row>
    <row r="785" spans="1:3" s="4" customFormat="1" ht="18" customHeight="1" x14ac:dyDescent="0.35">
      <c r="A785" s="4" t="s">
        <v>535</v>
      </c>
      <c r="B785" s="4" t="s">
        <v>535</v>
      </c>
      <c r="C785" s="4" t="s">
        <v>536</v>
      </c>
    </row>
    <row r="786" spans="1:3" ht="18" customHeight="1" x14ac:dyDescent="0.35">
      <c r="A786">
        <v>4</v>
      </c>
      <c r="B786">
        <f>ROUNDUP(3.2,0)</f>
        <v>4</v>
      </c>
      <c r="C786" t="s">
        <v>537</v>
      </c>
    </row>
    <row r="787" spans="1:3" ht="18" customHeight="1" x14ac:dyDescent="0.35">
      <c r="A787">
        <v>77</v>
      </c>
      <c r="B787">
        <f>ROUNDUP(76.9,0)</f>
        <v>77</v>
      </c>
      <c r="C787" t="s">
        <v>538</v>
      </c>
    </row>
    <row r="788" spans="1:3" ht="18" customHeight="1" x14ac:dyDescent="0.35">
      <c r="A788">
        <v>3.1419999999999999</v>
      </c>
      <c r="B788">
        <f>ROUNDUP(3.14159, 3)</f>
        <v>3.1419999999999999</v>
      </c>
      <c r="C788" t="s">
        <v>539</v>
      </c>
    </row>
    <row r="789" spans="1:3" ht="18" customHeight="1" x14ac:dyDescent="0.35">
      <c r="A789">
        <v>-3.2</v>
      </c>
      <c r="B789">
        <f>ROUNDUP(-3.14159, 1)</f>
        <v>-3.2</v>
      </c>
      <c r="C789" t="s">
        <v>540</v>
      </c>
    </row>
    <row r="790" spans="1:3" ht="18" customHeight="1" x14ac:dyDescent="0.35">
      <c r="A790">
        <v>31500</v>
      </c>
      <c r="B790">
        <f>ROUNDUP(31415.92654, -2)</f>
        <v>31500</v>
      </c>
      <c r="C790" t="s">
        <v>541</v>
      </c>
    </row>
    <row r="792" spans="1:3" s="4" customFormat="1" ht="18" customHeight="1" x14ac:dyDescent="0.35">
      <c r="A792" s="4" t="s">
        <v>542</v>
      </c>
      <c r="B792" s="4" t="s">
        <v>542</v>
      </c>
      <c r="C792" s="4" t="s">
        <v>543</v>
      </c>
    </row>
    <row r="793" spans="1:3" ht="18" customHeight="1" x14ac:dyDescent="0.35">
      <c r="A793">
        <v>2</v>
      </c>
      <c r="B793">
        <v>2</v>
      </c>
      <c r="C793">
        <v>6</v>
      </c>
    </row>
    <row r="794" spans="1:3" ht="18" customHeight="1" x14ac:dyDescent="0.35">
      <c r="A794">
        <v>3</v>
      </c>
      <c r="B794">
        <v>3</v>
      </c>
      <c r="C794">
        <v>5</v>
      </c>
    </row>
    <row r="795" spans="1:3" ht="18" customHeight="1" x14ac:dyDescent="0.35">
      <c r="A795">
        <v>9</v>
      </c>
      <c r="B795">
        <v>9</v>
      </c>
      <c r="C795">
        <v>11</v>
      </c>
    </row>
    <row r="796" spans="1:3" ht="18" customHeight="1" x14ac:dyDescent="0.35">
      <c r="A796">
        <v>1</v>
      </c>
      <c r="B796">
        <v>1</v>
      </c>
      <c r="C796">
        <v>7</v>
      </c>
    </row>
    <row r="797" spans="1:3" ht="18" customHeight="1" x14ac:dyDescent="0.35">
      <c r="A797">
        <v>8</v>
      </c>
      <c r="B797">
        <v>8</v>
      </c>
      <c r="C797">
        <v>5</v>
      </c>
    </row>
    <row r="798" spans="1:3" ht="18" customHeight="1" x14ac:dyDescent="0.35">
      <c r="A798">
        <v>7</v>
      </c>
      <c r="B798">
        <v>7</v>
      </c>
      <c r="C798">
        <v>4</v>
      </c>
    </row>
    <row r="799" spans="1:3" ht="18" customHeight="1" x14ac:dyDescent="0.35">
      <c r="A799">
        <v>5</v>
      </c>
      <c r="B799">
        <v>5</v>
      </c>
      <c r="C799">
        <v>4</v>
      </c>
    </row>
    <row r="800" spans="1:3" ht="18" customHeight="1" x14ac:dyDescent="0.35">
      <c r="A800">
        <v>5.7950191999999998E-2</v>
      </c>
      <c r="B800">
        <f>RSQ(B793:B799,C793:C799)</f>
        <v>5.7950191570881236E-2</v>
      </c>
      <c r="C800" t="s">
        <v>544</v>
      </c>
    </row>
    <row r="802" spans="1:3" s="4" customFormat="1" ht="18" customHeight="1" x14ac:dyDescent="0.35">
      <c r="A802" s="4" t="s">
        <v>545</v>
      </c>
      <c r="B802" s="4" t="s">
        <v>545</v>
      </c>
      <c r="C802" s="4" t="s">
        <v>545</v>
      </c>
    </row>
    <row r="803" spans="1:3" ht="18" customHeight="1" x14ac:dyDescent="0.35">
      <c r="A803">
        <v>0.70020833333333299</v>
      </c>
      <c r="B803">
        <v>0.70020833333333299</v>
      </c>
    </row>
    <row r="804" spans="1:3" ht="18" customHeight="1" x14ac:dyDescent="0.35">
      <c r="A804">
        <v>0.7</v>
      </c>
      <c r="B804">
        <v>0.7</v>
      </c>
    </row>
    <row r="805" spans="1:3" ht="18" customHeight="1" x14ac:dyDescent="0.35">
      <c r="A805">
        <v>18</v>
      </c>
      <c r="B805">
        <f>SECOND(B803)</f>
        <v>18</v>
      </c>
      <c r="C805" t="s">
        <v>546</v>
      </c>
    </row>
    <row r="806" spans="1:3" ht="18" customHeight="1" x14ac:dyDescent="0.35">
      <c r="A806">
        <v>0</v>
      </c>
      <c r="B806">
        <f>SECOND(B804)</f>
        <v>0</v>
      </c>
      <c r="C806" t="s">
        <v>547</v>
      </c>
    </row>
    <row r="808" spans="1:3" s="4" customFormat="1" ht="18" customHeight="1" x14ac:dyDescent="0.35">
      <c r="A808" s="4" t="s">
        <v>548</v>
      </c>
      <c r="B808" s="4" t="s">
        <v>548</v>
      </c>
      <c r="C808" s="4" t="s">
        <v>548</v>
      </c>
    </row>
    <row r="809" spans="1:3" ht="18" customHeight="1" x14ac:dyDescent="0.35">
      <c r="A809">
        <v>1</v>
      </c>
      <c r="B809">
        <f>SIGN(10)</f>
        <v>1</v>
      </c>
      <c r="C809" t="s">
        <v>549</v>
      </c>
    </row>
    <row r="810" spans="1:3" ht="18" customHeight="1" x14ac:dyDescent="0.35">
      <c r="A810">
        <v>0</v>
      </c>
      <c r="B810">
        <f>SIGN(4-4)</f>
        <v>0</v>
      </c>
      <c r="C810" t="s">
        <v>550</v>
      </c>
    </row>
    <row r="811" spans="1:3" ht="18" customHeight="1" x14ac:dyDescent="0.35">
      <c r="A811">
        <v>-1</v>
      </c>
      <c r="B811">
        <f>SIGN(-0.00001)</f>
        <v>-1</v>
      </c>
      <c r="C811" t="s">
        <v>551</v>
      </c>
    </row>
    <row r="813" spans="1:3" s="4" customFormat="1" ht="18" customHeight="1" x14ac:dyDescent="0.35">
      <c r="A813" s="4" t="s">
        <v>552</v>
      </c>
      <c r="B813" s="4" t="s">
        <v>552</v>
      </c>
      <c r="C813" s="4" t="s">
        <v>553</v>
      </c>
    </row>
    <row r="814" spans="1:3" ht="18" customHeight="1" x14ac:dyDescent="0.35">
      <c r="A814" s="1">
        <v>1.22515E-16</v>
      </c>
      <c r="B814">
        <f>SIN(PI())</f>
        <v>1.22514845490862E-16</v>
      </c>
      <c r="C814" t="s">
        <v>554</v>
      </c>
    </row>
    <row r="815" spans="1:3" ht="18" customHeight="1" x14ac:dyDescent="0.35">
      <c r="A815">
        <v>1</v>
      </c>
      <c r="B815">
        <f>SIN(PI()/2)</f>
        <v>1</v>
      </c>
      <c r="C815" t="s">
        <v>555</v>
      </c>
    </row>
    <row r="816" spans="1:3" ht="18" customHeight="1" x14ac:dyDescent="0.35">
      <c r="A816">
        <v>0.5</v>
      </c>
      <c r="B816">
        <f>SIN(30*PI()/180)</f>
        <v>0.49999999999999994</v>
      </c>
      <c r="C816" t="s">
        <v>556</v>
      </c>
    </row>
    <row r="817" spans="1:3" ht="18" customHeight="1" x14ac:dyDescent="0.35">
      <c r="A817">
        <v>0.5</v>
      </c>
      <c r="B817">
        <f>SIN(RADIANS(30))</f>
        <v>0.49999999999999994</v>
      </c>
      <c r="C817" t="s">
        <v>556</v>
      </c>
    </row>
    <row r="819" spans="1:3" s="4" customFormat="1" ht="18" customHeight="1" x14ac:dyDescent="0.35">
      <c r="A819" s="4" t="s">
        <v>557</v>
      </c>
      <c r="B819" s="4" t="s">
        <v>557</v>
      </c>
      <c r="C819" s="4" t="s">
        <v>558</v>
      </c>
    </row>
    <row r="820" spans="1:3" ht="18" customHeight="1" x14ac:dyDescent="0.35">
      <c r="A820">
        <v>0.10104906299999999</v>
      </c>
      <c r="B820">
        <f>2.868*SINH(0.0342*1.03)</f>
        <v>0.10104906311828733</v>
      </c>
      <c r="C820" t="s">
        <v>559</v>
      </c>
    </row>
    <row r="822" spans="1:3" s="4" customFormat="1" ht="18" customHeight="1" x14ac:dyDescent="0.35">
      <c r="A822" s="4" t="s">
        <v>560</v>
      </c>
      <c r="B822" s="4" t="s">
        <v>560</v>
      </c>
      <c r="C822" s="4" t="s">
        <v>561</v>
      </c>
    </row>
    <row r="823" spans="1:3" ht="18" customHeight="1" x14ac:dyDescent="0.35">
      <c r="A823">
        <v>3</v>
      </c>
      <c r="B823">
        <v>3</v>
      </c>
    </row>
    <row r="824" spans="1:3" ht="18" customHeight="1" x14ac:dyDescent="0.35">
      <c r="A824">
        <v>4</v>
      </c>
      <c r="B824">
        <v>4</v>
      </c>
    </row>
    <row r="825" spans="1:3" ht="18" customHeight="1" x14ac:dyDescent="0.35">
      <c r="A825">
        <v>5</v>
      </c>
      <c r="B825">
        <v>5</v>
      </c>
    </row>
    <row r="826" spans="1:3" ht="18" customHeight="1" x14ac:dyDescent="0.35">
      <c r="A826">
        <v>2</v>
      </c>
      <c r="B826">
        <v>2</v>
      </c>
    </row>
    <row r="827" spans="1:3" ht="18" customHeight="1" x14ac:dyDescent="0.35">
      <c r="A827">
        <v>3</v>
      </c>
      <c r="B827">
        <v>3</v>
      </c>
    </row>
    <row r="828" spans="1:3" ht="18" customHeight="1" x14ac:dyDescent="0.35">
      <c r="A828">
        <v>4</v>
      </c>
      <c r="B828">
        <v>4</v>
      </c>
    </row>
    <row r="829" spans="1:3" ht="18" customHeight="1" x14ac:dyDescent="0.35">
      <c r="A829">
        <v>5</v>
      </c>
      <c r="B829">
        <v>5</v>
      </c>
    </row>
    <row r="830" spans="1:3" ht="18" customHeight="1" x14ac:dyDescent="0.35">
      <c r="A830">
        <v>6</v>
      </c>
      <c r="B830">
        <v>6</v>
      </c>
    </row>
    <row r="831" spans="1:3" ht="18" customHeight="1" x14ac:dyDescent="0.35">
      <c r="A831">
        <v>4</v>
      </c>
      <c r="B831">
        <v>4</v>
      </c>
    </row>
    <row r="832" spans="1:3" ht="18" customHeight="1" x14ac:dyDescent="0.35">
      <c r="A832">
        <v>7</v>
      </c>
      <c r="B832">
        <v>7</v>
      </c>
    </row>
    <row r="833" spans="1:3" ht="18" customHeight="1" x14ac:dyDescent="0.35">
      <c r="A833">
        <v>0.35954307099999999</v>
      </c>
      <c r="B833">
        <f>SKEW(B823:B832)</f>
        <v>0.35954307140679742</v>
      </c>
      <c r="C833" t="s">
        <v>562</v>
      </c>
    </row>
    <row r="835" spans="1:3" s="4" customFormat="1" ht="18" customHeight="1" x14ac:dyDescent="0.35">
      <c r="A835" s="4" t="s">
        <v>563</v>
      </c>
      <c r="B835" s="4" t="s">
        <v>563</v>
      </c>
      <c r="C835" s="4" t="s">
        <v>564</v>
      </c>
    </row>
    <row r="836" spans="1:3" ht="18" customHeight="1" x14ac:dyDescent="0.35">
      <c r="A836">
        <v>30000</v>
      </c>
      <c r="B836">
        <v>30000</v>
      </c>
      <c r="C836" t="s">
        <v>565</v>
      </c>
    </row>
    <row r="837" spans="1:3" ht="18" customHeight="1" x14ac:dyDescent="0.35">
      <c r="A837">
        <v>7500</v>
      </c>
      <c r="B837">
        <v>7500</v>
      </c>
      <c r="C837" t="s">
        <v>151</v>
      </c>
    </row>
    <row r="838" spans="1:3" ht="18" customHeight="1" x14ac:dyDescent="0.35">
      <c r="A838">
        <v>10</v>
      </c>
      <c r="B838">
        <v>10</v>
      </c>
      <c r="C838" t="s">
        <v>566</v>
      </c>
    </row>
    <row r="839" spans="1:3" ht="18" customHeight="1" x14ac:dyDescent="0.35">
      <c r="A839">
        <v>2250</v>
      </c>
      <c r="B839">
        <f>SLN(B836, B837, B838)</f>
        <v>2250</v>
      </c>
      <c r="C839" t="s">
        <v>567</v>
      </c>
    </row>
    <row r="841" spans="1:3" s="4" customFormat="1" ht="18" customHeight="1" x14ac:dyDescent="0.35">
      <c r="A841" s="4" t="s">
        <v>568</v>
      </c>
      <c r="B841" s="4" t="s">
        <v>568</v>
      </c>
      <c r="C841" s="4" t="s">
        <v>569</v>
      </c>
    </row>
    <row r="842" spans="1:3" ht="18" customHeight="1" x14ac:dyDescent="0.35">
      <c r="A842">
        <v>2</v>
      </c>
      <c r="B842">
        <v>2</v>
      </c>
      <c r="C842">
        <v>6</v>
      </c>
    </row>
    <row r="843" spans="1:3" ht="18" customHeight="1" x14ac:dyDescent="0.35">
      <c r="A843">
        <v>3</v>
      </c>
      <c r="B843">
        <v>3</v>
      </c>
      <c r="C843">
        <v>5</v>
      </c>
    </row>
    <row r="844" spans="1:3" ht="18" customHeight="1" x14ac:dyDescent="0.35">
      <c r="A844">
        <v>9</v>
      </c>
      <c r="B844">
        <v>9</v>
      </c>
      <c r="C844">
        <v>11</v>
      </c>
    </row>
    <row r="845" spans="1:3" ht="18" customHeight="1" x14ac:dyDescent="0.35">
      <c r="A845">
        <v>1</v>
      </c>
      <c r="B845">
        <v>1</v>
      </c>
      <c r="C845">
        <v>7</v>
      </c>
    </row>
    <row r="846" spans="1:3" ht="18" customHeight="1" x14ac:dyDescent="0.35">
      <c r="A846">
        <v>8</v>
      </c>
      <c r="B846">
        <v>8</v>
      </c>
      <c r="C846">
        <v>5</v>
      </c>
    </row>
    <row r="847" spans="1:3" ht="18" customHeight="1" x14ac:dyDescent="0.35">
      <c r="A847">
        <v>7</v>
      </c>
      <c r="B847">
        <v>7</v>
      </c>
      <c r="C847">
        <v>4</v>
      </c>
    </row>
    <row r="848" spans="1:3" ht="18" customHeight="1" x14ac:dyDescent="0.35">
      <c r="A848">
        <v>5</v>
      </c>
      <c r="B848">
        <v>5</v>
      </c>
      <c r="C848">
        <v>4</v>
      </c>
    </row>
    <row r="849" spans="1:3" ht="18" customHeight="1" x14ac:dyDescent="0.35">
      <c r="A849">
        <v>0.30555555600000001</v>
      </c>
      <c r="B849">
        <f>SLOPE(B842:B848,C842:C848)</f>
        <v>0.30555555555555558</v>
      </c>
      <c r="C849" t="s">
        <v>570</v>
      </c>
    </row>
    <row r="851" spans="1:3" s="4" customFormat="1" ht="18" customHeight="1" x14ac:dyDescent="0.35">
      <c r="A851" s="4" t="s">
        <v>571</v>
      </c>
      <c r="B851" s="4" t="s">
        <v>571</v>
      </c>
      <c r="C851" s="4" t="s">
        <v>572</v>
      </c>
    </row>
    <row r="852" spans="1:3" ht="18" customHeight="1" x14ac:dyDescent="0.35">
      <c r="A852">
        <v>3</v>
      </c>
      <c r="B852">
        <v>3</v>
      </c>
      <c r="C852">
        <v>1</v>
      </c>
    </row>
    <row r="853" spans="1:3" ht="18" customHeight="1" x14ac:dyDescent="0.35">
      <c r="A853">
        <v>4</v>
      </c>
      <c r="B853">
        <v>4</v>
      </c>
      <c r="C853">
        <v>4</v>
      </c>
    </row>
    <row r="854" spans="1:3" ht="18" customHeight="1" x14ac:dyDescent="0.35">
      <c r="A854">
        <v>5</v>
      </c>
      <c r="B854">
        <v>5</v>
      </c>
      <c r="C854">
        <v>8</v>
      </c>
    </row>
    <row r="855" spans="1:3" ht="18" customHeight="1" x14ac:dyDescent="0.35">
      <c r="A855">
        <v>2</v>
      </c>
      <c r="B855">
        <v>2</v>
      </c>
      <c r="C855">
        <v>3</v>
      </c>
    </row>
    <row r="856" spans="1:3" ht="18" customHeight="1" x14ac:dyDescent="0.35">
      <c r="A856">
        <v>3</v>
      </c>
      <c r="B856">
        <v>3</v>
      </c>
      <c r="C856">
        <v>7</v>
      </c>
    </row>
    <row r="857" spans="1:3" ht="18" customHeight="1" x14ac:dyDescent="0.35">
      <c r="A857">
        <v>4</v>
      </c>
      <c r="B857">
        <v>4</v>
      </c>
      <c r="C857">
        <v>12</v>
      </c>
    </row>
    <row r="858" spans="1:3" ht="18" customHeight="1" x14ac:dyDescent="0.35">
      <c r="A858">
        <v>6</v>
      </c>
      <c r="B858">
        <v>6</v>
      </c>
      <c r="C858">
        <v>54</v>
      </c>
    </row>
    <row r="859" spans="1:3" ht="18" customHeight="1" x14ac:dyDescent="0.35">
      <c r="A859">
        <v>4</v>
      </c>
      <c r="B859">
        <v>4</v>
      </c>
      <c r="C859">
        <v>8</v>
      </c>
    </row>
    <row r="860" spans="1:3" ht="18" customHeight="1" x14ac:dyDescent="0.35">
      <c r="A860">
        <v>7</v>
      </c>
      <c r="B860">
        <v>7</v>
      </c>
      <c r="C860">
        <v>23</v>
      </c>
    </row>
    <row r="861" spans="1:3" ht="18" customHeight="1" x14ac:dyDescent="0.35">
      <c r="A861">
        <v>4</v>
      </c>
      <c r="B861">
        <f>SMALL(B852:B860,4)</f>
        <v>4</v>
      </c>
      <c r="C861" t="s">
        <v>573</v>
      </c>
    </row>
    <row r="862" spans="1:3" ht="18" customHeight="1" x14ac:dyDescent="0.35">
      <c r="A862">
        <v>3</v>
      </c>
      <c r="B862">
        <f>SMALL(C852:C860,2)</f>
        <v>3</v>
      </c>
      <c r="C862" t="s">
        <v>574</v>
      </c>
    </row>
    <row r="864" spans="1:3" s="4" customFormat="1" ht="18" customHeight="1" x14ac:dyDescent="0.35">
      <c r="A864" s="4" t="s">
        <v>575</v>
      </c>
      <c r="B864" s="4" t="s">
        <v>575</v>
      </c>
      <c r="C864" s="4" t="s">
        <v>576</v>
      </c>
    </row>
    <row r="865" spans="1:3" ht="18" customHeight="1" x14ac:dyDescent="0.35">
      <c r="A865">
        <v>-16</v>
      </c>
      <c r="B865">
        <v>-16</v>
      </c>
    </row>
    <row r="866" spans="1:3" ht="18" customHeight="1" x14ac:dyDescent="0.35">
      <c r="A866">
        <v>4</v>
      </c>
      <c r="B866">
        <f>SQRT(16)</f>
        <v>4</v>
      </c>
      <c r="C866" t="s">
        <v>577</v>
      </c>
    </row>
    <row r="867" spans="1:3" ht="18" customHeight="1" x14ac:dyDescent="0.35">
      <c r="A867" t="e">
        <v>#NUM!</v>
      </c>
      <c r="B867" t="e">
        <f>SQRT(B865)</f>
        <v>#NUM!</v>
      </c>
      <c r="C867" t="s">
        <v>578</v>
      </c>
    </row>
    <row r="868" spans="1:3" ht="18" customHeight="1" x14ac:dyDescent="0.35">
      <c r="A868">
        <v>4</v>
      </c>
      <c r="B868">
        <f>SQRT(ABS(B865))</f>
        <v>4</v>
      </c>
      <c r="C868" t="s">
        <v>579</v>
      </c>
    </row>
    <row r="870" spans="1:3" s="4" customFormat="1" ht="18" customHeight="1" x14ac:dyDescent="0.35">
      <c r="A870" s="4" t="s">
        <v>580</v>
      </c>
      <c r="B870" s="4" t="s">
        <v>580</v>
      </c>
      <c r="C870" s="4" t="s">
        <v>580</v>
      </c>
    </row>
    <row r="871" spans="1:3" ht="18" customHeight="1" x14ac:dyDescent="0.35">
      <c r="A871">
        <v>42</v>
      </c>
      <c r="B871">
        <v>42</v>
      </c>
      <c r="C871" t="s">
        <v>581</v>
      </c>
    </row>
    <row r="872" spans="1:3" ht="18" customHeight="1" x14ac:dyDescent="0.35">
      <c r="A872">
        <v>40</v>
      </c>
      <c r="B872">
        <v>40</v>
      </c>
      <c r="C872" t="s">
        <v>399</v>
      </c>
    </row>
    <row r="873" spans="1:3" ht="18" customHeight="1" x14ac:dyDescent="0.35">
      <c r="A873">
        <v>1.5</v>
      </c>
      <c r="B873">
        <v>1.5</v>
      </c>
      <c r="C873" t="s">
        <v>400</v>
      </c>
    </row>
    <row r="874" spans="1:3" ht="18" customHeight="1" x14ac:dyDescent="0.35">
      <c r="A874">
        <v>1.3333333329999999</v>
      </c>
      <c r="B874">
        <f>STANDARDIZE(B871,B872,B873)</f>
        <v>1.3333333333333333</v>
      </c>
      <c r="C874" t="s">
        <v>582</v>
      </c>
    </row>
    <row r="876" spans="1:3" s="4" customFormat="1" ht="18" customHeight="1" x14ac:dyDescent="0.35">
      <c r="A876" s="4" t="s">
        <v>583</v>
      </c>
      <c r="B876" s="4" t="s">
        <v>583</v>
      </c>
      <c r="C876" s="4" t="s">
        <v>584</v>
      </c>
    </row>
    <row r="877" spans="1:3" ht="18" customHeight="1" x14ac:dyDescent="0.35">
      <c r="A877">
        <v>1345</v>
      </c>
      <c r="B877">
        <v>1345</v>
      </c>
    </row>
    <row r="878" spans="1:3" ht="18" customHeight="1" x14ac:dyDescent="0.35">
      <c r="A878">
        <v>1301</v>
      </c>
      <c r="B878">
        <v>1301</v>
      </c>
    </row>
    <row r="879" spans="1:3" ht="18" customHeight="1" x14ac:dyDescent="0.35">
      <c r="A879">
        <v>1368</v>
      </c>
      <c r="B879">
        <v>1368</v>
      </c>
    </row>
    <row r="880" spans="1:3" ht="18" customHeight="1" x14ac:dyDescent="0.35">
      <c r="A880">
        <v>1322</v>
      </c>
      <c r="B880">
        <v>1322</v>
      </c>
    </row>
    <row r="881" spans="1:3" ht="18" customHeight="1" x14ac:dyDescent="0.35">
      <c r="A881">
        <v>1310</v>
      </c>
      <c r="B881">
        <v>1310</v>
      </c>
    </row>
    <row r="882" spans="1:3" ht="18" customHeight="1" x14ac:dyDescent="0.35">
      <c r="A882">
        <v>1370</v>
      </c>
      <c r="B882">
        <v>1370</v>
      </c>
    </row>
    <row r="883" spans="1:3" ht="18" customHeight="1" x14ac:dyDescent="0.35">
      <c r="A883">
        <v>1318</v>
      </c>
      <c r="B883">
        <v>1318</v>
      </c>
    </row>
    <row r="884" spans="1:3" ht="18" customHeight="1" x14ac:dyDescent="0.35">
      <c r="A884">
        <v>1350</v>
      </c>
      <c r="B884">
        <v>1350</v>
      </c>
    </row>
    <row r="885" spans="1:3" ht="18" customHeight="1" x14ac:dyDescent="0.35">
      <c r="A885">
        <v>1303</v>
      </c>
      <c r="B885">
        <v>1303</v>
      </c>
    </row>
    <row r="886" spans="1:3" ht="18" customHeight="1" x14ac:dyDescent="0.35">
      <c r="A886">
        <v>1299</v>
      </c>
      <c r="B886">
        <v>1299</v>
      </c>
    </row>
    <row r="887" spans="1:3" ht="18" customHeight="1" x14ac:dyDescent="0.35">
      <c r="A887">
        <v>27.463915719999999</v>
      </c>
      <c r="B887">
        <f>STDEV(B877:B886)</f>
        <v>27.463915719843492</v>
      </c>
      <c r="C887" t="s">
        <v>585</v>
      </c>
    </row>
    <row r="889" spans="1:3" s="4" customFormat="1" ht="18" customHeight="1" x14ac:dyDescent="0.35">
      <c r="A889" s="4" t="s">
        <v>586</v>
      </c>
      <c r="B889" s="4" t="s">
        <v>586</v>
      </c>
      <c r="C889" s="4" t="s">
        <v>584</v>
      </c>
    </row>
    <row r="890" spans="1:3" ht="18" customHeight="1" x14ac:dyDescent="0.35">
      <c r="A890">
        <v>27.463915719999999</v>
      </c>
      <c r="B890">
        <f>STDEVA(B877:B886)</f>
        <v>27.463915719843492</v>
      </c>
      <c r="C890" t="s">
        <v>587</v>
      </c>
    </row>
    <row r="892" spans="1:3" s="4" customFormat="1" ht="18" customHeight="1" x14ac:dyDescent="0.35">
      <c r="A892" s="4" t="s">
        <v>588</v>
      </c>
      <c r="B892" s="4" t="s">
        <v>588</v>
      </c>
      <c r="C892" s="4" t="s">
        <v>589</v>
      </c>
    </row>
    <row r="893" spans="1:3" ht="18" customHeight="1" x14ac:dyDescent="0.35">
      <c r="A893">
        <v>26.054558140000001</v>
      </c>
      <c r="B893">
        <f>STDEVP(B877:B886)</f>
        <v>26.054558142482477</v>
      </c>
      <c r="C893" t="s">
        <v>590</v>
      </c>
    </row>
    <row r="895" spans="1:3" s="4" customFormat="1" ht="18" customHeight="1" x14ac:dyDescent="0.35">
      <c r="A895" s="4" t="s">
        <v>591</v>
      </c>
      <c r="B895" s="4" t="s">
        <v>591</v>
      </c>
      <c r="C895" s="4" t="s">
        <v>589</v>
      </c>
    </row>
    <row r="896" spans="1:3" ht="18" customHeight="1" x14ac:dyDescent="0.35">
      <c r="A896">
        <v>26.054558140000001</v>
      </c>
      <c r="B896">
        <f>STDEVPA(B877:B886)</f>
        <v>26.054558142482477</v>
      </c>
      <c r="C896" t="s">
        <v>590</v>
      </c>
    </row>
    <row r="898" spans="1:3" s="4" customFormat="1" ht="18" customHeight="1" x14ac:dyDescent="0.35">
      <c r="A898" s="4" t="s">
        <v>592</v>
      </c>
      <c r="B898" s="4" t="s">
        <v>592</v>
      </c>
      <c r="C898" s="4" t="s">
        <v>593</v>
      </c>
    </row>
    <row r="899" spans="1:3" ht="18" customHeight="1" x14ac:dyDescent="0.35">
      <c r="A899">
        <v>2</v>
      </c>
      <c r="B899">
        <v>2</v>
      </c>
      <c r="C899">
        <v>6</v>
      </c>
    </row>
    <row r="900" spans="1:3" ht="18" customHeight="1" x14ac:dyDescent="0.35">
      <c r="A900">
        <v>3</v>
      </c>
      <c r="B900">
        <v>3</v>
      </c>
      <c r="C900">
        <v>5</v>
      </c>
    </row>
    <row r="901" spans="1:3" ht="18" customHeight="1" x14ac:dyDescent="0.35">
      <c r="A901">
        <v>9</v>
      </c>
      <c r="B901">
        <v>9</v>
      </c>
      <c r="C901">
        <v>11</v>
      </c>
    </row>
    <row r="902" spans="1:3" ht="18" customHeight="1" x14ac:dyDescent="0.35">
      <c r="A902">
        <v>1</v>
      </c>
      <c r="B902">
        <v>1</v>
      </c>
      <c r="C902">
        <v>7</v>
      </c>
    </row>
    <row r="903" spans="1:3" ht="18" customHeight="1" x14ac:dyDescent="0.35">
      <c r="A903">
        <v>8</v>
      </c>
      <c r="B903">
        <v>8</v>
      </c>
      <c r="C903">
        <v>5</v>
      </c>
    </row>
    <row r="904" spans="1:3" ht="18" customHeight="1" x14ac:dyDescent="0.35">
      <c r="A904">
        <v>7</v>
      </c>
      <c r="B904">
        <v>7</v>
      </c>
      <c r="C904">
        <v>4</v>
      </c>
    </row>
    <row r="905" spans="1:3" ht="18" customHeight="1" x14ac:dyDescent="0.35">
      <c r="A905">
        <v>5</v>
      </c>
      <c r="B905">
        <v>5</v>
      </c>
      <c r="C905">
        <v>4</v>
      </c>
    </row>
    <row r="906" spans="1:3" ht="18" customHeight="1" x14ac:dyDescent="0.35">
      <c r="A906">
        <v>3.3057189500000002</v>
      </c>
      <c r="B906">
        <f>STEYX(B899:B905,C899:C905)</f>
        <v>3.305718950210041</v>
      </c>
      <c r="C906" t="s">
        <v>594</v>
      </c>
    </row>
    <row r="908" spans="1:3" s="4" customFormat="1" ht="18" customHeight="1" x14ac:dyDescent="0.35">
      <c r="A908" s="4" t="s">
        <v>595</v>
      </c>
      <c r="B908" s="4" t="s">
        <v>595</v>
      </c>
      <c r="C908" s="4" t="s">
        <v>596</v>
      </c>
    </row>
    <row r="909" spans="1:3" ht="18" customHeight="1" x14ac:dyDescent="0.35">
      <c r="A909">
        <v>-5</v>
      </c>
      <c r="B909">
        <v>-5</v>
      </c>
    </row>
    <row r="910" spans="1:3" ht="18" customHeight="1" x14ac:dyDescent="0.35">
      <c r="A910">
        <v>15</v>
      </c>
      <c r="B910">
        <v>15</v>
      </c>
    </row>
    <row r="911" spans="1:3" ht="18" customHeight="1" x14ac:dyDescent="0.35">
      <c r="A911">
        <v>30</v>
      </c>
      <c r="B911">
        <v>30</v>
      </c>
    </row>
    <row r="912" spans="1:3" ht="18" customHeight="1" x14ac:dyDescent="0.35">
      <c r="A912" t="s">
        <v>597</v>
      </c>
      <c r="B912" t="s">
        <v>597</v>
      </c>
    </row>
    <row r="913" spans="1:5" ht="18" customHeight="1" x14ac:dyDescent="0.35">
      <c r="A913" t="b">
        <v>1</v>
      </c>
      <c r="B913" t="b">
        <v>1</v>
      </c>
    </row>
    <row r="914" spans="1:5" ht="18" customHeight="1" x14ac:dyDescent="0.35">
      <c r="A914">
        <v>5</v>
      </c>
      <c r="B914">
        <f>SUM(3, 2)</f>
        <v>5</v>
      </c>
      <c r="C914" t="s">
        <v>598</v>
      </c>
    </row>
    <row r="915" spans="1:5" ht="18" customHeight="1" x14ac:dyDescent="0.35">
      <c r="A915">
        <v>21</v>
      </c>
      <c r="B915">
        <f>SUM("5", 15, TRUE)</f>
        <v>21</v>
      </c>
      <c r="C915" t="s">
        <v>599</v>
      </c>
    </row>
    <row r="916" spans="1:5" ht="18" customHeight="1" x14ac:dyDescent="0.35">
      <c r="A916">
        <v>40</v>
      </c>
      <c r="B916">
        <f>SUM(B909:B911)</f>
        <v>40</v>
      </c>
      <c r="C916" t="s">
        <v>600</v>
      </c>
    </row>
    <row r="917" spans="1:5" ht="18" customHeight="1" x14ac:dyDescent="0.35">
      <c r="A917">
        <v>55</v>
      </c>
      <c r="B917">
        <f>SUM(B909:B911, 15)</f>
        <v>55</v>
      </c>
      <c r="C917" t="s">
        <v>601</v>
      </c>
    </row>
    <row r="918" spans="1:5" ht="18" customHeight="1" x14ac:dyDescent="0.35">
      <c r="A918">
        <v>2</v>
      </c>
      <c r="B918">
        <f>SUM(B912,B913, 2)</f>
        <v>2</v>
      </c>
      <c r="C918" t="s">
        <v>602</v>
      </c>
    </row>
    <row r="920" spans="1:5" s="4" customFormat="1" ht="18" customHeight="1" x14ac:dyDescent="0.35">
      <c r="A920" s="4" t="s">
        <v>603</v>
      </c>
      <c r="B920" s="4" t="s">
        <v>603</v>
      </c>
      <c r="C920" s="4" t="s">
        <v>604</v>
      </c>
    </row>
    <row r="921" spans="1:5" ht="18" customHeight="1" x14ac:dyDescent="0.35">
      <c r="A921">
        <v>100000</v>
      </c>
      <c r="B921">
        <v>100000</v>
      </c>
      <c r="C921">
        <v>7000</v>
      </c>
    </row>
    <row r="922" spans="1:5" ht="18" customHeight="1" x14ac:dyDescent="0.35">
      <c r="A922">
        <v>200000</v>
      </c>
      <c r="B922">
        <v>200000</v>
      </c>
      <c r="C922">
        <v>14000</v>
      </c>
    </row>
    <row r="923" spans="1:5" ht="18" customHeight="1" x14ac:dyDescent="0.35">
      <c r="A923">
        <v>300000</v>
      </c>
      <c r="B923">
        <v>300000</v>
      </c>
      <c r="C923">
        <v>21000</v>
      </c>
    </row>
    <row r="924" spans="1:5" ht="18" customHeight="1" x14ac:dyDescent="0.35">
      <c r="A924">
        <v>400000</v>
      </c>
      <c r="B924">
        <v>400000</v>
      </c>
      <c r="C924">
        <v>28000</v>
      </c>
    </row>
    <row r="925" spans="1:5" ht="18" customHeight="1" x14ac:dyDescent="0.35">
      <c r="A925">
        <v>63000</v>
      </c>
      <c r="B925">
        <f>SUMIF(B921:B924,"&gt;160000",C921:C924)</f>
        <v>63000</v>
      </c>
      <c r="C925" t="s">
        <v>605</v>
      </c>
    </row>
    <row r="927" spans="1:5" s="4" customFormat="1" ht="18" customHeight="1" x14ac:dyDescent="0.35">
      <c r="A927" s="4" t="s">
        <v>606</v>
      </c>
      <c r="B927" s="4" t="s">
        <v>606</v>
      </c>
      <c r="C927" s="4" t="s">
        <v>607</v>
      </c>
    </row>
    <row r="928" spans="1:5" ht="18" customHeight="1" x14ac:dyDescent="0.35">
      <c r="A928">
        <v>3</v>
      </c>
      <c r="B928">
        <v>3</v>
      </c>
      <c r="C928">
        <v>4</v>
      </c>
      <c r="D928">
        <v>2</v>
      </c>
      <c r="E928">
        <v>7</v>
      </c>
    </row>
    <row r="929" spans="1:5" ht="18" customHeight="1" x14ac:dyDescent="0.35">
      <c r="A929">
        <v>8</v>
      </c>
      <c r="B929">
        <v>8</v>
      </c>
      <c r="C929">
        <v>6</v>
      </c>
      <c r="D929">
        <v>6</v>
      </c>
      <c r="E929">
        <v>7</v>
      </c>
    </row>
    <row r="930" spans="1:5" ht="18" customHeight="1" x14ac:dyDescent="0.35">
      <c r="A930">
        <v>1</v>
      </c>
      <c r="B930">
        <v>1</v>
      </c>
      <c r="C930">
        <v>9</v>
      </c>
      <c r="D930">
        <v>5</v>
      </c>
      <c r="E930">
        <v>3</v>
      </c>
    </row>
    <row r="931" spans="1:5" ht="18" customHeight="1" x14ac:dyDescent="0.35">
      <c r="A931">
        <v>156</v>
      </c>
      <c r="B931">
        <f>SUMPRODUCT(B928:C930, D928:E930)</f>
        <v>156</v>
      </c>
      <c r="C931" t="s">
        <v>608</v>
      </c>
    </row>
    <row r="932" spans="1:5" s="4" customFormat="1" ht="18" customHeight="1" x14ac:dyDescent="0.35">
      <c r="A932" s="4" t="s">
        <v>609</v>
      </c>
      <c r="B932" s="4" t="s">
        <v>609</v>
      </c>
      <c r="C932" s="4" t="s">
        <v>610</v>
      </c>
    </row>
    <row r="933" spans="1:5" ht="18" customHeight="1" x14ac:dyDescent="0.35">
      <c r="A933">
        <v>25</v>
      </c>
      <c r="B933">
        <f>SUMSQ(3, 4)</f>
        <v>25</v>
      </c>
      <c r="C933" t="s">
        <v>611</v>
      </c>
    </row>
    <row r="935" spans="1:5" s="4" customFormat="1" ht="18" customHeight="1" x14ac:dyDescent="0.35">
      <c r="A935" s="4" t="s">
        <v>612</v>
      </c>
      <c r="B935" s="4" t="s">
        <v>612</v>
      </c>
      <c r="C935" s="4" t="s">
        <v>613</v>
      </c>
    </row>
    <row r="936" spans="1:5" ht="18" customHeight="1" x14ac:dyDescent="0.35">
      <c r="A936">
        <v>2</v>
      </c>
      <c r="B936">
        <v>2</v>
      </c>
      <c r="C936">
        <v>6</v>
      </c>
    </row>
    <row r="937" spans="1:5" ht="18" customHeight="1" x14ac:dyDescent="0.35">
      <c r="A937">
        <v>3</v>
      </c>
      <c r="B937">
        <v>3</v>
      </c>
      <c r="C937">
        <v>5</v>
      </c>
    </row>
    <row r="938" spans="1:5" ht="18" customHeight="1" x14ac:dyDescent="0.35">
      <c r="A938">
        <v>9</v>
      </c>
      <c r="B938">
        <v>9</v>
      </c>
      <c r="C938">
        <v>11</v>
      </c>
    </row>
    <row r="939" spans="1:5" ht="18" customHeight="1" x14ac:dyDescent="0.35">
      <c r="A939">
        <v>1</v>
      </c>
      <c r="B939">
        <v>1</v>
      </c>
      <c r="C939">
        <v>7</v>
      </c>
    </row>
    <row r="940" spans="1:5" ht="18" customHeight="1" x14ac:dyDescent="0.35">
      <c r="A940">
        <v>8</v>
      </c>
      <c r="B940">
        <v>8</v>
      </c>
      <c r="C940">
        <v>5</v>
      </c>
    </row>
    <row r="941" spans="1:5" ht="18" customHeight="1" x14ac:dyDescent="0.35">
      <c r="A941">
        <v>7</v>
      </c>
      <c r="B941">
        <v>7</v>
      </c>
      <c r="C941">
        <v>4</v>
      </c>
    </row>
    <row r="942" spans="1:5" ht="18" customHeight="1" x14ac:dyDescent="0.35">
      <c r="A942">
        <v>5</v>
      </c>
      <c r="B942">
        <v>5</v>
      </c>
      <c r="C942">
        <v>4</v>
      </c>
    </row>
    <row r="943" spans="1:5" ht="18" customHeight="1" x14ac:dyDescent="0.35">
      <c r="A943">
        <v>-55</v>
      </c>
      <c r="B943">
        <f>SUMX2MY2(B936:B942,C936:C942)</f>
        <v>-55</v>
      </c>
      <c r="C943" t="s">
        <v>614</v>
      </c>
    </row>
    <row r="945" spans="1:3" s="4" customFormat="1" ht="18" customHeight="1" x14ac:dyDescent="0.35">
      <c r="A945" s="4" t="s">
        <v>615</v>
      </c>
      <c r="B945" s="4" t="s">
        <v>615</v>
      </c>
      <c r="C945" s="4" t="s">
        <v>616</v>
      </c>
    </row>
    <row r="946" spans="1:3" ht="18" customHeight="1" x14ac:dyDescent="0.35">
      <c r="A946">
        <v>521</v>
      </c>
      <c r="B946">
        <f>SUMX2PY2(B936:B942,C936:C942)</f>
        <v>521</v>
      </c>
      <c r="C946" t="s">
        <v>617</v>
      </c>
    </row>
    <row r="948" spans="1:3" s="4" customFormat="1" ht="18" customHeight="1" x14ac:dyDescent="0.35">
      <c r="A948" s="4" t="s">
        <v>618</v>
      </c>
      <c r="B948" s="4" t="s">
        <v>618</v>
      </c>
      <c r="C948" s="4" t="s">
        <v>619</v>
      </c>
    </row>
    <row r="949" spans="1:3" ht="18" customHeight="1" x14ac:dyDescent="0.35">
      <c r="A949">
        <v>79</v>
      </c>
      <c r="B949">
        <f>SUMXMY2(B936:B942,C936:C942)</f>
        <v>79</v>
      </c>
      <c r="C949" t="s">
        <v>620</v>
      </c>
    </row>
    <row r="951" spans="1:3" s="4" customFormat="1" ht="18" customHeight="1" x14ac:dyDescent="0.35">
      <c r="A951" s="4" t="s">
        <v>621</v>
      </c>
      <c r="B951" s="4" t="s">
        <v>621</v>
      </c>
      <c r="C951" s="4" t="s">
        <v>622</v>
      </c>
    </row>
    <row r="952" spans="1:3" ht="18" customHeight="1" x14ac:dyDescent="0.35">
      <c r="A952">
        <v>30000</v>
      </c>
      <c r="B952">
        <v>30000</v>
      </c>
      <c r="C952" t="s">
        <v>150</v>
      </c>
    </row>
    <row r="953" spans="1:3" ht="18" customHeight="1" x14ac:dyDescent="0.35">
      <c r="A953">
        <v>7500</v>
      </c>
      <c r="B953">
        <v>7500</v>
      </c>
      <c r="C953" t="s">
        <v>151</v>
      </c>
    </row>
    <row r="954" spans="1:3" ht="18" customHeight="1" x14ac:dyDescent="0.35">
      <c r="A954">
        <v>10</v>
      </c>
      <c r="B954">
        <v>10</v>
      </c>
      <c r="C954" t="s">
        <v>623</v>
      </c>
    </row>
    <row r="955" spans="1:3" ht="18" customHeight="1" x14ac:dyDescent="0.35">
      <c r="A955">
        <v>4090.90909091</v>
      </c>
      <c r="B955">
        <f>SYD(B952,B953,B954,1)</f>
        <v>4090.909090909091</v>
      </c>
      <c r="C955" t="s">
        <v>624</v>
      </c>
    </row>
    <row r="956" spans="1:3" ht="18" customHeight="1" x14ac:dyDescent="0.35">
      <c r="A956">
        <v>409.09090909090003</v>
      </c>
      <c r="B956">
        <f>SYD(B952,B953,B954,10)</f>
        <v>409.09090909090907</v>
      </c>
      <c r="C956" t="s">
        <v>625</v>
      </c>
    </row>
    <row r="958" spans="1:3" s="4" customFormat="1" ht="18" customHeight="1" x14ac:dyDescent="0.35">
      <c r="A958" s="4" t="s">
        <v>626</v>
      </c>
      <c r="B958" s="4" t="s">
        <v>626</v>
      </c>
      <c r="C958" s="4" t="s">
        <v>627</v>
      </c>
    </row>
    <row r="959" spans="1:3" ht="18" customHeight="1" x14ac:dyDescent="0.35">
      <c r="A959">
        <v>0.99920399000000004</v>
      </c>
      <c r="B959">
        <f>TAN(0.785)</f>
        <v>0.99920399010504268</v>
      </c>
      <c r="C959" t="s">
        <v>628</v>
      </c>
    </row>
    <row r="960" spans="1:3" ht="18" customHeight="1" x14ac:dyDescent="0.35">
      <c r="A960">
        <v>1</v>
      </c>
      <c r="B960">
        <f>TAN(45*PI()/180)</f>
        <v>0.99999999999999989</v>
      </c>
      <c r="C960" t="s">
        <v>629</v>
      </c>
    </row>
    <row r="961" spans="1:4" ht="18" customHeight="1" x14ac:dyDescent="0.35">
      <c r="A961">
        <v>1</v>
      </c>
      <c r="B961">
        <f>TAN(RADIANS(45))</f>
        <v>0.99999999999999989</v>
      </c>
      <c r="C961" t="s">
        <v>629</v>
      </c>
    </row>
    <row r="963" spans="1:4" s="4" customFormat="1" ht="18" customHeight="1" x14ac:dyDescent="0.35">
      <c r="A963" s="4" t="s">
        <v>630</v>
      </c>
      <c r="B963" s="4" t="s">
        <v>630</v>
      </c>
      <c r="C963" s="4" t="s">
        <v>631</v>
      </c>
    </row>
    <row r="964" spans="1:4" ht="18" customHeight="1" x14ac:dyDescent="0.35">
      <c r="A964">
        <v>-0.96402758</v>
      </c>
      <c r="B964">
        <f>TANH(-2)</f>
        <v>-0.96402758007581701</v>
      </c>
      <c r="C964" t="s">
        <v>632</v>
      </c>
    </row>
    <row r="965" spans="1:4" ht="18" customHeight="1" x14ac:dyDescent="0.35">
      <c r="A965">
        <v>0</v>
      </c>
      <c r="B965">
        <f>TANH(0)</f>
        <v>0</v>
      </c>
      <c r="C965" t="s">
        <v>633</v>
      </c>
    </row>
    <row r="966" spans="1:4" ht="18" customHeight="1" x14ac:dyDescent="0.35">
      <c r="A966">
        <v>0.462117157</v>
      </c>
      <c r="B966">
        <f>TANH(0.5)</f>
        <v>0.46211715726000979</v>
      </c>
      <c r="C966" t="s">
        <v>634</v>
      </c>
    </row>
    <row r="968" spans="1:4" s="4" customFormat="1" ht="18" customHeight="1" x14ac:dyDescent="0.35">
      <c r="A968" s="4" t="s">
        <v>635</v>
      </c>
      <c r="B968" s="4" t="s">
        <v>635</v>
      </c>
      <c r="C968" s="4" t="s">
        <v>635</v>
      </c>
    </row>
    <row r="969" spans="1:4" ht="18" customHeight="1" x14ac:dyDescent="0.35">
      <c r="A969" t="s">
        <v>636</v>
      </c>
      <c r="B969" t="s">
        <v>636</v>
      </c>
      <c r="C969">
        <v>2800</v>
      </c>
    </row>
    <row r="970" spans="1:4" ht="18" customHeight="1" x14ac:dyDescent="0.35">
      <c r="A970" t="s">
        <v>637</v>
      </c>
      <c r="B970" t="s">
        <v>637</v>
      </c>
      <c r="C970">
        <v>0.4</v>
      </c>
    </row>
    <row r="971" spans="1:4" ht="18" customHeight="1" x14ac:dyDescent="0.35">
      <c r="A971" t="s">
        <v>638</v>
      </c>
      <c r="B971" t="str">
        <f>B969&amp;" sold "&amp;TEXT(C969, "$0.00")&amp;" worth of units."</f>
        <v>Buchanan sold $2800.00 worth of units.</v>
      </c>
      <c r="C971" t="s">
        <v>639</v>
      </c>
    </row>
    <row r="972" spans="1:4" ht="18" customHeight="1" x14ac:dyDescent="0.35">
      <c r="A972" t="s">
        <v>640</v>
      </c>
      <c r="B972" t="str">
        <f>B970&amp;" sold "&amp;TEXT(C970,"0%")&amp;" of the total sales."</f>
        <v>Dodsworth sold 40% of the total sales.</v>
      </c>
      <c r="C972" t="s">
        <v>641</v>
      </c>
    </row>
    <row r="974" spans="1:4" s="4" customFormat="1" ht="18" customHeight="1" x14ac:dyDescent="0.35">
      <c r="A974" s="4" t="s">
        <v>642</v>
      </c>
      <c r="B974" s="4" t="s">
        <v>642</v>
      </c>
      <c r="C974" s="4" t="s">
        <v>642</v>
      </c>
    </row>
    <row r="975" spans="1:4" ht="18" customHeight="1" x14ac:dyDescent="0.35">
      <c r="A975">
        <v>12</v>
      </c>
      <c r="B975">
        <v>12</v>
      </c>
      <c r="C975">
        <v>0</v>
      </c>
      <c r="D975">
        <v>0</v>
      </c>
    </row>
    <row r="976" spans="1:4" ht="18" customHeight="1" x14ac:dyDescent="0.35">
      <c r="A976">
        <v>16</v>
      </c>
      <c r="B976">
        <v>16</v>
      </c>
      <c r="C976">
        <v>48</v>
      </c>
      <c r="D976">
        <v>10</v>
      </c>
    </row>
    <row r="977" spans="1:3" ht="18" customHeight="1" x14ac:dyDescent="0.35">
      <c r="A977">
        <v>0.5</v>
      </c>
      <c r="B977">
        <f>TIME(B975,C975,D975)</f>
        <v>0.5</v>
      </c>
      <c r="C977" t="s">
        <v>643</v>
      </c>
    </row>
    <row r="978" spans="1:3" ht="18" customHeight="1" x14ac:dyDescent="0.35">
      <c r="A978">
        <v>0.70011573999999999</v>
      </c>
      <c r="B978">
        <f>TIME(B976,C976,D976)</f>
        <v>0.70011574074074068</v>
      </c>
      <c r="C978" t="s">
        <v>644</v>
      </c>
    </row>
    <row r="980" spans="1:3" s="4" customFormat="1" ht="18" customHeight="1" x14ac:dyDescent="0.35">
      <c r="A980" s="4" t="s">
        <v>645</v>
      </c>
      <c r="B980" s="4" t="s">
        <v>645</v>
      </c>
      <c r="C980" s="4" t="s">
        <v>646</v>
      </c>
    </row>
    <row r="981" spans="1:3" ht="18" customHeight="1" x14ac:dyDescent="0.35">
      <c r="A981">
        <v>0.1</v>
      </c>
      <c r="B981">
        <f>TIMEVALUE("2:24 AM")</f>
        <v>9.9999999999999992E-2</v>
      </c>
      <c r="C981" t="s">
        <v>647</v>
      </c>
    </row>
    <row r="982" spans="1:3" ht="18" customHeight="1" x14ac:dyDescent="0.35">
      <c r="A982">
        <v>0.27430555600000001</v>
      </c>
      <c r="B982">
        <f>TIMEVALUE("22-Aug-2008 6:35 AM")</f>
        <v>0.27430555555474712</v>
      </c>
      <c r="C982" t="s">
        <v>648</v>
      </c>
    </row>
    <row r="984" spans="1:3" s="4" customFormat="1" ht="18" customHeight="1" x14ac:dyDescent="0.35">
      <c r="A984" s="4" t="s">
        <v>649</v>
      </c>
      <c r="B984" s="4" t="s">
        <v>649</v>
      </c>
      <c r="C984" s="4" t="s">
        <v>650</v>
      </c>
    </row>
    <row r="985" spans="1:3" ht="18" customHeight="1" x14ac:dyDescent="0.35">
      <c r="A985" t="s">
        <v>651</v>
      </c>
      <c r="B985">
        <f ca="1">TODAY()</f>
        <v>42499</v>
      </c>
    </row>
    <row r="987" spans="1:3" s="4" customFormat="1" ht="18" customHeight="1" x14ac:dyDescent="0.35">
      <c r="A987" s="4" t="s">
        <v>652</v>
      </c>
      <c r="B987" s="4" t="s">
        <v>652</v>
      </c>
      <c r="C987" s="4" t="s">
        <v>653</v>
      </c>
    </row>
    <row r="988" spans="1:3" ht="18" customHeight="1" x14ac:dyDescent="0.35">
      <c r="A988">
        <v>4</v>
      </c>
      <c r="B988">
        <v>4</v>
      </c>
    </row>
    <row r="989" spans="1:3" ht="18" customHeight="1" x14ac:dyDescent="0.35">
      <c r="A989">
        <v>5</v>
      </c>
      <c r="B989">
        <v>5</v>
      </c>
    </row>
    <row r="990" spans="1:3" ht="18" customHeight="1" x14ac:dyDescent="0.35">
      <c r="A990">
        <v>6</v>
      </c>
      <c r="B990">
        <v>6</v>
      </c>
    </row>
    <row r="991" spans="1:3" ht="18" customHeight="1" x14ac:dyDescent="0.35">
      <c r="A991">
        <v>7</v>
      </c>
      <c r="B991">
        <v>7</v>
      </c>
    </row>
    <row r="992" spans="1:3" ht="18" customHeight="1" x14ac:dyDescent="0.35">
      <c r="A992">
        <v>2</v>
      </c>
      <c r="B992">
        <v>2</v>
      </c>
    </row>
    <row r="993" spans="1:3" ht="18" customHeight="1" x14ac:dyDescent="0.35">
      <c r="A993">
        <v>3</v>
      </c>
      <c r="B993">
        <v>3</v>
      </c>
    </row>
    <row r="994" spans="1:3" ht="18" customHeight="1" x14ac:dyDescent="0.35">
      <c r="A994">
        <v>4</v>
      </c>
      <c r="B994">
        <v>4</v>
      </c>
    </row>
    <row r="995" spans="1:3" ht="18" customHeight="1" x14ac:dyDescent="0.35">
      <c r="A995">
        <v>5</v>
      </c>
      <c r="B995">
        <v>5</v>
      </c>
    </row>
    <row r="996" spans="1:3" ht="18" customHeight="1" x14ac:dyDescent="0.35">
      <c r="A996">
        <v>1</v>
      </c>
      <c r="B996">
        <v>1</v>
      </c>
    </row>
    <row r="997" spans="1:3" ht="18" customHeight="1" x14ac:dyDescent="0.35">
      <c r="A997">
        <v>2</v>
      </c>
      <c r="B997">
        <v>2</v>
      </c>
    </row>
    <row r="998" spans="1:3" ht="18" customHeight="1" x14ac:dyDescent="0.35">
      <c r="A998">
        <v>3</v>
      </c>
      <c r="B998">
        <v>3</v>
      </c>
    </row>
    <row r="999" spans="1:3" ht="18" customHeight="1" x14ac:dyDescent="0.35">
      <c r="A999">
        <v>3.7777777779999999</v>
      </c>
      <c r="B999">
        <f>TRIMMEAN(B988:B998,0.2)</f>
        <v>3.7777777777777777</v>
      </c>
      <c r="C999" t="s">
        <v>654</v>
      </c>
    </row>
    <row r="1001" spans="1:3" s="4" customFormat="1" ht="18" customHeight="1" x14ac:dyDescent="0.35">
      <c r="A1001" s="4" t="s">
        <v>655</v>
      </c>
      <c r="B1001" s="4" t="s">
        <v>655</v>
      </c>
      <c r="C1001" s="4" t="s">
        <v>656</v>
      </c>
    </row>
    <row r="1002" spans="1:3" ht="18" customHeight="1" x14ac:dyDescent="0.35">
      <c r="A1002">
        <v>8</v>
      </c>
      <c r="B1002">
        <f>TRUNC(8.9)</f>
        <v>8</v>
      </c>
      <c r="C1002" t="s">
        <v>657</v>
      </c>
    </row>
    <row r="1003" spans="1:3" ht="18" customHeight="1" x14ac:dyDescent="0.35">
      <c r="A1003">
        <v>-8</v>
      </c>
      <c r="B1003">
        <f>TRUNC(-8.9)</f>
        <v>-8</v>
      </c>
      <c r="C1003" t="s">
        <v>658</v>
      </c>
    </row>
    <row r="1004" spans="1:3" ht="18" customHeight="1" x14ac:dyDescent="0.35">
      <c r="A1004">
        <v>3</v>
      </c>
      <c r="B1004">
        <f>TRUNC(PI())</f>
        <v>3</v>
      </c>
      <c r="C1004" t="s">
        <v>659</v>
      </c>
    </row>
    <row r="1006" spans="1:3" s="4" customFormat="1" ht="18" customHeight="1" x14ac:dyDescent="0.35">
      <c r="A1006" s="4" t="s">
        <v>660</v>
      </c>
      <c r="B1006" s="4" t="s">
        <v>660</v>
      </c>
      <c r="C1006" s="4" t="s">
        <v>660</v>
      </c>
    </row>
    <row r="1007" spans="1:3" ht="18" customHeight="1" x14ac:dyDescent="0.35">
      <c r="A1007">
        <v>1000</v>
      </c>
      <c r="B1007">
        <f>VALUE("$1,000")</f>
        <v>1000</v>
      </c>
      <c r="C1007" t="s">
        <v>661</v>
      </c>
    </row>
    <row r="1008" spans="1:3" ht="18" customHeight="1" x14ac:dyDescent="0.35">
      <c r="A1008">
        <v>0.2</v>
      </c>
      <c r="B1008">
        <f>VALUE("16:48:00")-VALUE("12:00:00")</f>
        <v>0.20000000000000007</v>
      </c>
      <c r="C1008" t="s">
        <v>662</v>
      </c>
    </row>
    <row r="1010" spans="1:3" s="4" customFormat="1" ht="18" customHeight="1" x14ac:dyDescent="0.35">
      <c r="A1010" s="4" t="s">
        <v>663</v>
      </c>
      <c r="B1010" s="4" t="s">
        <v>663</v>
      </c>
      <c r="C1010" s="4" t="s">
        <v>664</v>
      </c>
    </row>
    <row r="1011" spans="1:3" ht="18" customHeight="1" x14ac:dyDescent="0.35">
      <c r="A1011">
        <v>754.26666669999997</v>
      </c>
      <c r="B1011">
        <f>VAR(B877:B886)</f>
        <v>754.26666666666654</v>
      </c>
      <c r="C1011" t="s">
        <v>665</v>
      </c>
    </row>
    <row r="1013" spans="1:3" s="4" customFormat="1" ht="18" customHeight="1" x14ac:dyDescent="0.35">
      <c r="A1013" s="4" t="s">
        <v>666</v>
      </c>
      <c r="B1013" s="4" t="s">
        <v>666</v>
      </c>
      <c r="C1013" s="4" t="s">
        <v>664</v>
      </c>
    </row>
    <row r="1014" spans="1:3" ht="18" customHeight="1" x14ac:dyDescent="0.35">
      <c r="A1014">
        <v>754.26666669999997</v>
      </c>
      <c r="B1014">
        <f>VARA(B877:B886)</f>
        <v>754.26666666666654</v>
      </c>
      <c r="C1014" t="s">
        <v>665</v>
      </c>
    </row>
    <row r="1016" spans="1:3" s="4" customFormat="1" ht="18" customHeight="1" x14ac:dyDescent="0.35">
      <c r="A1016" s="4" t="s">
        <v>667</v>
      </c>
      <c r="B1016" s="4" t="s">
        <v>667</v>
      </c>
      <c r="C1016" s="4" t="s">
        <v>664</v>
      </c>
    </row>
    <row r="1017" spans="1:3" ht="18" customHeight="1" x14ac:dyDescent="0.35">
      <c r="A1017">
        <v>678.84</v>
      </c>
      <c r="B1017">
        <f>VARP(B877:B886)</f>
        <v>678.83999999999992</v>
      </c>
      <c r="C1017" t="s">
        <v>668</v>
      </c>
    </row>
    <row r="1019" spans="1:3" s="4" customFormat="1" ht="18" customHeight="1" x14ac:dyDescent="0.35">
      <c r="A1019" s="4" t="s">
        <v>669</v>
      </c>
      <c r="B1019" s="4" t="s">
        <v>669</v>
      </c>
      <c r="C1019" s="4" t="s">
        <v>664</v>
      </c>
    </row>
    <row r="1020" spans="1:3" ht="18" customHeight="1" x14ac:dyDescent="0.35">
      <c r="A1020">
        <v>678.84</v>
      </c>
      <c r="B1020">
        <f>VARPA(B877:B886)</f>
        <v>678.83999999999992</v>
      </c>
      <c r="C1020" t="s">
        <v>668</v>
      </c>
    </row>
    <row r="1022" spans="1:3" s="4" customFormat="1" ht="18" customHeight="1" x14ac:dyDescent="0.35">
      <c r="A1022" s="4" t="s">
        <v>670</v>
      </c>
      <c r="B1022" s="4" t="s">
        <v>670</v>
      </c>
      <c r="C1022" s="4" t="s">
        <v>671</v>
      </c>
    </row>
    <row r="1023" spans="1:3" ht="18" customHeight="1" x14ac:dyDescent="0.35">
      <c r="A1023">
        <v>2400</v>
      </c>
      <c r="B1023">
        <v>2400</v>
      </c>
      <c r="C1023" t="s">
        <v>150</v>
      </c>
    </row>
    <row r="1024" spans="1:3" ht="18" customHeight="1" x14ac:dyDescent="0.35">
      <c r="A1024">
        <v>300</v>
      </c>
      <c r="B1024">
        <v>300</v>
      </c>
      <c r="C1024" t="s">
        <v>151</v>
      </c>
    </row>
    <row r="1025" spans="1:4" ht="18" customHeight="1" x14ac:dyDescent="0.35">
      <c r="A1025">
        <v>10</v>
      </c>
      <c r="B1025">
        <v>10</v>
      </c>
      <c r="C1025" t="s">
        <v>152</v>
      </c>
    </row>
    <row r="1026" spans="1:4" ht="18" customHeight="1" x14ac:dyDescent="0.35">
      <c r="A1026">
        <v>1.3150684930000001</v>
      </c>
      <c r="B1026">
        <f>VDB(B1023, B1024, B1025*365, 0, 1)</f>
        <v>1.3150684931506849</v>
      </c>
      <c r="C1026" t="s">
        <v>672</v>
      </c>
    </row>
    <row r="1027" spans="1:4" ht="18" customHeight="1" x14ac:dyDescent="0.35">
      <c r="A1027">
        <v>40</v>
      </c>
      <c r="B1027">
        <f>VDB(B1023, B1024, B1025*12, 0, 1)</f>
        <v>40</v>
      </c>
      <c r="C1027" t="s">
        <v>163</v>
      </c>
    </row>
    <row r="1028" spans="1:4" ht="18" customHeight="1" x14ac:dyDescent="0.35">
      <c r="A1028">
        <v>480</v>
      </c>
      <c r="B1028">
        <f>VDB(B1023, B1024, B1025, 0, 1)</f>
        <v>480</v>
      </c>
      <c r="C1028" t="s">
        <v>164</v>
      </c>
    </row>
    <row r="1029" spans="1:4" ht="18" customHeight="1" x14ac:dyDescent="0.35">
      <c r="A1029">
        <v>396.306053265</v>
      </c>
      <c r="B1029">
        <f>VDB(B1023, B128, B1025*12, 6, 18)</f>
        <v>396.30605326475086</v>
      </c>
      <c r="C1029" t="s">
        <v>673</v>
      </c>
    </row>
    <row r="1030" spans="1:4" ht="18" customHeight="1" x14ac:dyDescent="0.35">
      <c r="A1030">
        <v>311.80893665799999</v>
      </c>
      <c r="B1030">
        <f>VDB(B1023, B1024, B1025*12, 6, 18, 1.5)</f>
        <v>311.80893665823413</v>
      </c>
      <c r="C1030" t="s">
        <v>674</v>
      </c>
    </row>
    <row r="1031" spans="1:4" ht="18" customHeight="1" x14ac:dyDescent="0.35">
      <c r="A1031">
        <v>315</v>
      </c>
      <c r="B1031">
        <f>VDB(B1023, B1024, B1025, 0, 0.875, 1.5)</f>
        <v>315</v>
      </c>
      <c r="C1031" t="s">
        <v>675</v>
      </c>
    </row>
    <row r="1033" spans="1:4" s="4" customFormat="1" ht="18" customHeight="1" x14ac:dyDescent="0.35">
      <c r="A1033" s="4" t="s">
        <v>676</v>
      </c>
      <c r="B1033" s="4" t="s">
        <v>676</v>
      </c>
      <c r="C1033" s="4" t="s">
        <v>677</v>
      </c>
    </row>
    <row r="1034" spans="1:4" s="4" customFormat="1" ht="18" customHeight="1" x14ac:dyDescent="0.35">
      <c r="A1034" s="4" t="s">
        <v>678</v>
      </c>
      <c r="B1034" s="4" t="s">
        <v>678</v>
      </c>
      <c r="C1034" s="4" t="s">
        <v>679</v>
      </c>
      <c r="D1034" s="4" t="s">
        <v>680</v>
      </c>
    </row>
    <row r="1035" spans="1:4" ht="18" customHeight="1" x14ac:dyDescent="0.35">
      <c r="A1035">
        <v>0.45700000000000002</v>
      </c>
      <c r="B1035">
        <v>0.45700000000000002</v>
      </c>
      <c r="C1035">
        <v>3.55</v>
      </c>
      <c r="D1035">
        <v>500</v>
      </c>
    </row>
    <row r="1036" spans="1:4" ht="18" customHeight="1" x14ac:dyDescent="0.35">
      <c r="A1036">
        <v>0.52500000000000002</v>
      </c>
      <c r="B1036">
        <v>0.52500000000000002</v>
      </c>
      <c r="C1036">
        <v>3.25</v>
      </c>
      <c r="D1036">
        <v>400</v>
      </c>
    </row>
    <row r="1037" spans="1:4" ht="18" customHeight="1" x14ac:dyDescent="0.35">
      <c r="A1037">
        <v>0.61599999999999999</v>
      </c>
      <c r="B1037">
        <v>0.61599999999999999</v>
      </c>
      <c r="C1037">
        <v>2.93</v>
      </c>
      <c r="D1037">
        <v>300</v>
      </c>
    </row>
    <row r="1038" spans="1:4" ht="18" customHeight="1" x14ac:dyDescent="0.35">
      <c r="A1038">
        <v>0.67500000000000004</v>
      </c>
      <c r="B1038">
        <v>0.67500000000000004</v>
      </c>
      <c r="C1038">
        <v>2.75</v>
      </c>
      <c r="D1038">
        <v>250</v>
      </c>
    </row>
    <row r="1039" spans="1:4" ht="18" customHeight="1" x14ac:dyDescent="0.35">
      <c r="A1039">
        <v>0.746</v>
      </c>
      <c r="B1039">
        <v>0.746</v>
      </c>
      <c r="C1039">
        <v>2.57</v>
      </c>
      <c r="D1039">
        <v>200</v>
      </c>
    </row>
    <row r="1040" spans="1:4" ht="18" customHeight="1" x14ac:dyDescent="0.35">
      <c r="A1040">
        <v>0.83499999999999996</v>
      </c>
      <c r="B1040">
        <v>0.83499999999999996</v>
      </c>
      <c r="C1040">
        <v>2.38</v>
      </c>
      <c r="D1040">
        <v>150</v>
      </c>
    </row>
    <row r="1041" spans="1:4" ht="18" customHeight="1" x14ac:dyDescent="0.35">
      <c r="A1041">
        <v>0.94599999999999995</v>
      </c>
      <c r="B1041">
        <v>0.94599999999999995</v>
      </c>
      <c r="C1041">
        <v>2.17</v>
      </c>
      <c r="D1041">
        <v>100</v>
      </c>
    </row>
    <row r="1042" spans="1:4" ht="18" customHeight="1" x14ac:dyDescent="0.35">
      <c r="A1042">
        <v>1.0900000000000001</v>
      </c>
      <c r="B1042">
        <v>1.0900000000000001</v>
      </c>
      <c r="C1042">
        <v>1.95</v>
      </c>
      <c r="D1042">
        <v>50</v>
      </c>
    </row>
    <row r="1043" spans="1:4" ht="18" customHeight="1" x14ac:dyDescent="0.35">
      <c r="A1043">
        <v>1.29</v>
      </c>
      <c r="B1043">
        <v>1.29</v>
      </c>
      <c r="C1043">
        <v>1.71</v>
      </c>
      <c r="D1043">
        <v>0</v>
      </c>
    </row>
    <row r="1044" spans="1:4" ht="18" customHeight="1" x14ac:dyDescent="0.35">
      <c r="A1044">
        <v>2.17</v>
      </c>
      <c r="B1044">
        <f>VLOOKUP(1,B1035:D1043,2)</f>
        <v>2.17</v>
      </c>
      <c r="C1044" t="s">
        <v>681</v>
      </c>
    </row>
    <row r="1045" spans="1:4" ht="18" customHeight="1" x14ac:dyDescent="0.35">
      <c r="A1045">
        <v>100</v>
      </c>
      <c r="B1045">
        <f>VLOOKUP(1,B1035:D1043,3,TRUE)</f>
        <v>100</v>
      </c>
      <c r="C1045" t="s">
        <v>682</v>
      </c>
    </row>
    <row r="1046" spans="1:4" ht="18" customHeight="1" x14ac:dyDescent="0.35">
      <c r="A1046" t="e">
        <v>#N/A</v>
      </c>
      <c r="B1046" t="e">
        <f>VLOOKUP(0.7,B1035:D1043,3,FALSE)</f>
        <v>#N/A</v>
      </c>
      <c r="C1046" t="s">
        <v>683</v>
      </c>
    </row>
    <row r="1047" spans="1:4" ht="18" customHeight="1" x14ac:dyDescent="0.35">
      <c r="A1047" t="e">
        <v>#N/A</v>
      </c>
      <c r="B1047" t="e">
        <f>VLOOKUP(0.1,B1035:D1043,2,TRUE)</f>
        <v>#N/A</v>
      </c>
      <c r="C1047" t="s">
        <v>684</v>
      </c>
    </row>
    <row r="1048" spans="1:4" ht="18" customHeight="1" x14ac:dyDescent="0.35">
      <c r="A1048">
        <v>1.71</v>
      </c>
      <c r="B1048">
        <f>VLOOKUP(2,B1035:D1043,2,TRUE)</f>
        <v>1.71</v>
      </c>
      <c r="C1048" t="s">
        <v>685</v>
      </c>
    </row>
    <row r="1050" spans="1:4" s="4" customFormat="1" ht="18" customHeight="1" x14ac:dyDescent="0.35">
      <c r="A1050" s="4" t="s">
        <v>686</v>
      </c>
      <c r="B1050" s="4" t="s">
        <v>686</v>
      </c>
      <c r="C1050" s="4" t="s">
        <v>687</v>
      </c>
    </row>
    <row r="1051" spans="1:4" ht="18" customHeight="1" x14ac:dyDescent="0.35">
      <c r="A1051">
        <v>39492</v>
      </c>
      <c r="B1051">
        <v>39492</v>
      </c>
    </row>
    <row r="1052" spans="1:4" ht="18" customHeight="1" x14ac:dyDescent="0.35">
      <c r="A1052">
        <v>5</v>
      </c>
      <c r="B1052">
        <f>WEEKDAY(B1051)</f>
        <v>5</v>
      </c>
      <c r="C1052" t="s">
        <v>688</v>
      </c>
    </row>
    <row r="1053" spans="1:4" ht="18" customHeight="1" x14ac:dyDescent="0.35">
      <c r="A1053">
        <v>4</v>
      </c>
      <c r="B1053">
        <f>WEEKDAY(B1051,2)</f>
        <v>4</v>
      </c>
      <c r="C1053" t="s">
        <v>689</v>
      </c>
    </row>
    <row r="1054" spans="1:4" ht="18" customHeight="1" x14ac:dyDescent="0.35">
      <c r="A1054">
        <v>3</v>
      </c>
      <c r="B1054">
        <f>WEEKDAY(B1051,3)</f>
        <v>3</v>
      </c>
      <c r="C1054" t="s">
        <v>690</v>
      </c>
    </row>
    <row r="1056" spans="1:4" s="4" customFormat="1" ht="18" customHeight="1" x14ac:dyDescent="0.35">
      <c r="A1056" s="4" t="s">
        <v>691</v>
      </c>
      <c r="B1056" s="4" t="s">
        <v>691</v>
      </c>
      <c r="C1056" s="4" t="s">
        <v>692</v>
      </c>
    </row>
    <row r="1057" spans="1:3" ht="18" customHeight="1" x14ac:dyDescent="0.35">
      <c r="A1057">
        <v>105</v>
      </c>
      <c r="B1057">
        <v>105</v>
      </c>
      <c r="C1057" t="s">
        <v>196</v>
      </c>
    </row>
    <row r="1058" spans="1:3" ht="18" customHeight="1" x14ac:dyDescent="0.35">
      <c r="A1058">
        <v>20</v>
      </c>
      <c r="B1058">
        <v>20</v>
      </c>
      <c r="C1058" t="s">
        <v>231</v>
      </c>
    </row>
    <row r="1059" spans="1:3" ht="18" customHeight="1" x14ac:dyDescent="0.35">
      <c r="A1059">
        <v>100</v>
      </c>
      <c r="B1059">
        <v>100</v>
      </c>
      <c r="C1059" t="s">
        <v>232</v>
      </c>
    </row>
    <row r="1060" spans="1:3" ht="18" customHeight="1" x14ac:dyDescent="0.35">
      <c r="A1060">
        <v>0.92958138999999995</v>
      </c>
      <c r="B1060">
        <f>WEIBULL(B1057,B1058,B1059,TRUE)</f>
        <v>0.92958139006927698</v>
      </c>
      <c r="C1060" t="s">
        <v>693</v>
      </c>
    </row>
    <row r="1061" spans="1:3" ht="18" customHeight="1" x14ac:dyDescent="0.35">
      <c r="A1061">
        <v>3.5588863999999998E-2</v>
      </c>
      <c r="B1061">
        <f>WEIBULL(B1057,B1058,B1059,FALSE)</f>
        <v>3.5588864024503564E-2</v>
      </c>
      <c r="C1061" t="s">
        <v>694</v>
      </c>
    </row>
    <row r="1063" spans="1:3" s="4" customFormat="1" ht="18" customHeight="1" x14ac:dyDescent="0.35">
      <c r="A1063" s="4" t="s">
        <v>695</v>
      </c>
      <c r="B1063" s="4" t="s">
        <v>695</v>
      </c>
      <c r="C1063" s="4" t="s">
        <v>695</v>
      </c>
    </row>
    <row r="1064" spans="1:3" ht="18" customHeight="1" x14ac:dyDescent="0.35">
      <c r="A1064">
        <v>39634</v>
      </c>
      <c r="B1064">
        <v>39634</v>
      </c>
    </row>
    <row r="1065" spans="1:3" ht="18" customHeight="1" x14ac:dyDescent="0.35">
      <c r="A1065">
        <v>40364</v>
      </c>
      <c r="B1065">
        <v>40364</v>
      </c>
    </row>
    <row r="1066" spans="1:3" ht="18" customHeight="1" x14ac:dyDescent="0.35">
      <c r="A1066">
        <v>2008</v>
      </c>
      <c r="B1066">
        <f>YEAR(B1064)</f>
        <v>2008</v>
      </c>
      <c r="C1066" t="s">
        <v>696</v>
      </c>
    </row>
    <row r="1067" spans="1:3" ht="18" customHeight="1" x14ac:dyDescent="0.35">
      <c r="A1067">
        <v>2010</v>
      </c>
      <c r="B1067">
        <f>YEAR(B1065)</f>
        <v>2010</v>
      </c>
      <c r="C1067" t="s">
        <v>697</v>
      </c>
    </row>
    <row r="1069" spans="1:3" s="4" customFormat="1" ht="18" customHeight="1" x14ac:dyDescent="0.35">
      <c r="A1069" s="4" t="s">
        <v>698</v>
      </c>
      <c r="B1069" s="4" t="s">
        <v>698</v>
      </c>
      <c r="C1069" s="4" t="s">
        <v>699</v>
      </c>
    </row>
    <row r="1070" spans="1:3" ht="18" customHeight="1" x14ac:dyDescent="0.35">
      <c r="A1070">
        <v>3</v>
      </c>
      <c r="B1070">
        <v>3</v>
      </c>
    </row>
    <row r="1071" spans="1:3" ht="18" customHeight="1" x14ac:dyDescent="0.35">
      <c r="A1071">
        <v>6</v>
      </c>
      <c r="B1071">
        <v>6</v>
      </c>
    </row>
    <row r="1072" spans="1:3" ht="18" customHeight="1" x14ac:dyDescent="0.35">
      <c r="A1072">
        <v>7</v>
      </c>
      <c r="B1072">
        <v>7</v>
      </c>
    </row>
    <row r="1073" spans="1:3" ht="18" customHeight="1" x14ac:dyDescent="0.35">
      <c r="A1073">
        <v>8</v>
      </c>
      <c r="B1073">
        <v>8</v>
      </c>
    </row>
    <row r="1074" spans="1:3" ht="18" customHeight="1" x14ac:dyDescent="0.35">
      <c r="A1074">
        <v>6</v>
      </c>
      <c r="B1074">
        <v>6</v>
      </c>
    </row>
    <row r="1075" spans="1:3" ht="18" customHeight="1" x14ac:dyDescent="0.35">
      <c r="A1075">
        <v>5</v>
      </c>
      <c r="B1075">
        <v>5</v>
      </c>
    </row>
    <row r="1076" spans="1:3" ht="18" customHeight="1" x14ac:dyDescent="0.35">
      <c r="A1076">
        <v>4</v>
      </c>
      <c r="B1076">
        <v>4</v>
      </c>
    </row>
    <row r="1077" spans="1:3" ht="18" customHeight="1" x14ac:dyDescent="0.35">
      <c r="A1077">
        <v>2</v>
      </c>
      <c r="B1077">
        <v>2</v>
      </c>
    </row>
    <row r="1078" spans="1:3" ht="18" customHeight="1" x14ac:dyDescent="0.35">
      <c r="A1078">
        <v>1</v>
      </c>
      <c r="B1078">
        <v>1</v>
      </c>
    </row>
    <row r="1079" spans="1:3" ht="18" customHeight="1" x14ac:dyDescent="0.35">
      <c r="A1079">
        <v>9</v>
      </c>
      <c r="B1079">
        <v>9</v>
      </c>
    </row>
    <row r="1080" spans="1:3" ht="18" customHeight="1" x14ac:dyDescent="0.35">
      <c r="A1080">
        <v>9.0574196999999995E-2</v>
      </c>
      <c r="B1080">
        <f>ZTEST(B1070:B1079,4)</f>
        <v>9.0574196851363808E-2</v>
      </c>
      <c r="C1080" t="s">
        <v>700</v>
      </c>
    </row>
    <row r="1081" spans="1:3" ht="18" customHeight="1" x14ac:dyDescent="0.35">
      <c r="A1081">
        <v>0.18114839399999999</v>
      </c>
      <c r="B1081">
        <f>2 * MIN(ZTEST(B1070:B1079,4), 1 - ZTEST(B1070:B1079,4))</f>
        <v>0.18114839370272762</v>
      </c>
      <c r="C1081" t="s">
        <v>701</v>
      </c>
    </row>
    <row r="1082" spans="1:3" ht="18" customHeight="1" x14ac:dyDescent="0.35">
      <c r="A1082">
        <v>0.86304338899999999</v>
      </c>
      <c r="B1082">
        <f>ZTEST(B1070:B1079,6)</f>
        <v>0.86304338912953005</v>
      </c>
      <c r="C1082" t="s">
        <v>702</v>
      </c>
    </row>
    <row r="1083" spans="1:3" ht="18" customHeight="1" x14ac:dyDescent="0.35">
      <c r="A1083">
        <v>0.27391322200000001</v>
      </c>
      <c r="B1083">
        <f>2 * MIN(ZTEST(B1070:B1079,6), 1 - ZTEST(B1070:B1079,6))</f>
        <v>0.27391322174093991</v>
      </c>
      <c r="C1083" t="s">
        <v>703</v>
      </c>
    </row>
    <row r="1085" spans="1:3" ht="18" customHeight="1" x14ac:dyDescent="0.35">
      <c r="A1085" t="e">
        <f>+ operator</f>
        <v>#NAME?</v>
      </c>
      <c r="B1085" t="s">
        <v>704</v>
      </c>
      <c r="C1085" t="s">
        <v>705</v>
      </c>
    </row>
    <row r="1086" spans="1:3" ht="18" customHeight="1" x14ac:dyDescent="0.35">
      <c r="A1086">
        <v>3</v>
      </c>
      <c r="B1086">
        <f xml:space="preserve"> 1 + 2</f>
        <v>3</v>
      </c>
      <c r="C1086" t="s">
        <v>706</v>
      </c>
    </row>
    <row r="1088" spans="1:3" ht="18" customHeight="1" x14ac:dyDescent="0.35">
      <c r="A1088" t="e">
        <f>- operator</f>
        <v>#NAME?</v>
      </c>
      <c r="B1088" t="s">
        <v>707</v>
      </c>
      <c r="C1088" t="s">
        <v>708</v>
      </c>
    </row>
    <row r="1089" spans="1:3" ht="18" customHeight="1" x14ac:dyDescent="0.35">
      <c r="A1089">
        <v>-2</v>
      </c>
      <c r="B1089">
        <f xml:space="preserve"> 1 - 3</f>
        <v>-2</v>
      </c>
      <c r="C1089" t="s">
        <v>709</v>
      </c>
    </row>
    <row r="1091" spans="1:3" ht="18" customHeight="1" x14ac:dyDescent="0.35">
      <c r="A1091" t="s">
        <v>710</v>
      </c>
      <c r="B1091" t="s">
        <v>711</v>
      </c>
      <c r="C1091" t="s">
        <v>712</v>
      </c>
    </row>
    <row r="1092" spans="1:3" ht="18" customHeight="1" x14ac:dyDescent="0.35">
      <c r="A1092">
        <v>-6</v>
      </c>
      <c r="B1092">
        <f xml:space="preserve"> 2 * (-3)</f>
        <v>-6</v>
      </c>
      <c r="C1092" t="s">
        <v>713</v>
      </c>
    </row>
    <row r="1094" spans="1:3" ht="18" customHeight="1" x14ac:dyDescent="0.35">
      <c r="A1094" t="s">
        <v>714</v>
      </c>
      <c r="B1094" t="s">
        <v>715</v>
      </c>
      <c r="C1094" t="s">
        <v>716</v>
      </c>
    </row>
    <row r="1095" spans="1:3" ht="18" customHeight="1" x14ac:dyDescent="0.35">
      <c r="A1095">
        <v>-0.66666666666666596</v>
      </c>
      <c r="B1095">
        <f xml:space="preserve"> 2 / (-3)</f>
        <v>-0.66666666666666663</v>
      </c>
      <c r="C1095" t="s">
        <v>717</v>
      </c>
    </row>
    <row r="1097" spans="1:3" ht="18" customHeight="1" x14ac:dyDescent="0.35">
      <c r="A1097" t="s">
        <v>718</v>
      </c>
      <c r="B1097" t="s">
        <v>719</v>
      </c>
      <c r="C1097" t="s">
        <v>720</v>
      </c>
    </row>
    <row r="1098" spans="1:3" ht="18" customHeight="1" x14ac:dyDescent="0.35">
      <c r="A1098" t="b">
        <v>0</v>
      </c>
      <c r="B1098" t="b">
        <f xml:space="preserve"> 2 &gt; 3</f>
        <v>0</v>
      </c>
      <c r="C1098" t="s">
        <v>721</v>
      </c>
    </row>
    <row r="1099" spans="1:3" ht="18" customHeight="1" x14ac:dyDescent="0.35">
      <c r="A1099" t="b">
        <v>0</v>
      </c>
      <c r="B1099" t="b">
        <f xml:space="preserve"> 3 &gt; 3</f>
        <v>0</v>
      </c>
      <c r="C1099" t="s">
        <v>722</v>
      </c>
    </row>
    <row r="1100" spans="1:3" ht="18" customHeight="1" x14ac:dyDescent="0.35">
      <c r="A1100" t="b">
        <v>1</v>
      </c>
      <c r="B1100" t="b">
        <f xml:space="preserve"> 3 &gt; 2</f>
        <v>1</v>
      </c>
      <c r="C1100" t="s">
        <v>723</v>
      </c>
    </row>
    <row r="1102" spans="1:3" ht="18" customHeight="1" x14ac:dyDescent="0.35">
      <c r="A1102" t="s">
        <v>724</v>
      </c>
      <c r="B1102" t="s">
        <v>725</v>
      </c>
      <c r="C1102" t="s">
        <v>726</v>
      </c>
    </row>
    <row r="1103" spans="1:3" ht="18" customHeight="1" x14ac:dyDescent="0.35">
      <c r="A1103" t="b">
        <v>1</v>
      </c>
      <c r="B1103" t="b">
        <f xml:space="preserve"> 2 &lt; 3</f>
        <v>1</v>
      </c>
      <c r="C1103" t="s">
        <v>727</v>
      </c>
    </row>
    <row r="1104" spans="1:3" ht="18" customHeight="1" x14ac:dyDescent="0.35">
      <c r="A1104" t="b">
        <v>0</v>
      </c>
      <c r="B1104" t="b">
        <f xml:space="preserve"> 3 &lt; 3</f>
        <v>0</v>
      </c>
      <c r="C1104" t="s">
        <v>728</v>
      </c>
    </row>
    <row r="1105" spans="1:3" ht="18" customHeight="1" x14ac:dyDescent="0.35">
      <c r="A1105" t="b">
        <v>0</v>
      </c>
      <c r="B1105" t="b">
        <f xml:space="preserve"> 3 &lt; 2</f>
        <v>0</v>
      </c>
      <c r="C1105" t="s">
        <v>729</v>
      </c>
    </row>
    <row r="1107" spans="1:3" ht="18" customHeight="1" x14ac:dyDescent="0.35">
      <c r="A1107" t="s">
        <v>730</v>
      </c>
      <c r="B1107" t="s">
        <v>731</v>
      </c>
      <c r="C1107" t="s">
        <v>732</v>
      </c>
    </row>
    <row r="1108" spans="1:3" ht="18" customHeight="1" x14ac:dyDescent="0.35">
      <c r="A1108" t="b">
        <v>0</v>
      </c>
      <c r="B1108" t="b">
        <f xml:space="preserve"> 2 = 3</f>
        <v>0</v>
      </c>
      <c r="C1108" t="s">
        <v>733</v>
      </c>
    </row>
    <row r="1109" spans="1:3" ht="18" customHeight="1" x14ac:dyDescent="0.35">
      <c r="A1109" t="b">
        <v>1</v>
      </c>
      <c r="B1109" t="b">
        <f xml:space="preserve"> 3 = 3</f>
        <v>1</v>
      </c>
      <c r="C1109" t="s">
        <v>734</v>
      </c>
    </row>
    <row r="1110" spans="1:3" ht="18" customHeight="1" x14ac:dyDescent="0.35">
      <c r="A1110" t="b">
        <v>0</v>
      </c>
      <c r="B1110" t="b">
        <f xml:space="preserve"> 3 = 2</f>
        <v>0</v>
      </c>
      <c r="C1110" t="s">
        <v>735</v>
      </c>
    </row>
    <row r="1112" spans="1:3" ht="18" customHeight="1" x14ac:dyDescent="0.35">
      <c r="A1112" t="s">
        <v>736</v>
      </c>
      <c r="B1112" t="s">
        <v>737</v>
      </c>
      <c r="C1112" t="s">
        <v>738</v>
      </c>
    </row>
    <row r="1113" spans="1:3" ht="18" customHeight="1" x14ac:dyDescent="0.35">
      <c r="A1113" t="b">
        <v>0</v>
      </c>
      <c r="B1113" t="b">
        <f xml:space="preserve"> 2 &gt;= 3</f>
        <v>0</v>
      </c>
      <c r="C1113" t="s">
        <v>721</v>
      </c>
    </row>
    <row r="1114" spans="1:3" ht="18" customHeight="1" x14ac:dyDescent="0.35">
      <c r="A1114" t="b">
        <v>1</v>
      </c>
      <c r="B1114" t="b">
        <f xml:space="preserve"> 3 &gt;= 3</f>
        <v>1</v>
      </c>
      <c r="C1114" t="s">
        <v>722</v>
      </c>
    </row>
    <row r="1115" spans="1:3" ht="18" customHeight="1" x14ac:dyDescent="0.35">
      <c r="A1115" t="b">
        <v>1</v>
      </c>
      <c r="B1115" t="b">
        <f xml:space="preserve"> 3 &gt;= 2</f>
        <v>1</v>
      </c>
      <c r="C1115" t="s">
        <v>723</v>
      </c>
    </row>
    <row r="1117" spans="1:3" ht="18" customHeight="1" x14ac:dyDescent="0.35">
      <c r="A1117" t="s">
        <v>739</v>
      </c>
      <c r="B1117" t="s">
        <v>740</v>
      </c>
      <c r="C1117" t="s">
        <v>741</v>
      </c>
    </row>
    <row r="1118" spans="1:3" ht="18" customHeight="1" x14ac:dyDescent="0.35">
      <c r="A1118" t="b">
        <v>1</v>
      </c>
      <c r="B1118" t="b">
        <f xml:space="preserve"> 2 &lt;= 3</f>
        <v>1</v>
      </c>
      <c r="C1118" t="s">
        <v>742</v>
      </c>
    </row>
    <row r="1119" spans="1:3" ht="18" customHeight="1" x14ac:dyDescent="0.35">
      <c r="A1119" t="b">
        <v>1</v>
      </c>
      <c r="B1119" t="b">
        <f xml:space="preserve"> 3 &lt;= 3</f>
        <v>1</v>
      </c>
      <c r="C1119" t="s">
        <v>743</v>
      </c>
    </row>
    <row r="1120" spans="1:3" ht="18" customHeight="1" x14ac:dyDescent="0.35">
      <c r="A1120" t="b">
        <v>0</v>
      </c>
      <c r="B1120" t="b">
        <f xml:space="preserve"> 3 &lt;= 2</f>
        <v>0</v>
      </c>
      <c r="C1120" t="s">
        <v>744</v>
      </c>
    </row>
    <row r="1122" spans="1:14" ht="18" customHeight="1" x14ac:dyDescent="0.35">
      <c r="A1122" t="s">
        <v>745</v>
      </c>
      <c r="B1122" t="s">
        <v>746</v>
      </c>
      <c r="C1122" t="s">
        <v>747</v>
      </c>
    </row>
    <row r="1123" spans="1:14" ht="18" customHeight="1" x14ac:dyDescent="0.35">
      <c r="A1123" t="b">
        <v>1</v>
      </c>
      <c r="B1123" t="b">
        <f xml:space="preserve"> 2 &lt;&gt; 3</f>
        <v>1</v>
      </c>
      <c r="C1123" t="s">
        <v>748</v>
      </c>
    </row>
    <row r="1124" spans="1:14" ht="18" customHeight="1" x14ac:dyDescent="0.35">
      <c r="A1124" t="b">
        <v>0</v>
      </c>
      <c r="B1124" t="b">
        <f xml:space="preserve"> 3 &lt;&gt; 3</f>
        <v>0</v>
      </c>
      <c r="C1124" t="s">
        <v>749</v>
      </c>
    </row>
    <row r="1125" spans="1:14" ht="18" customHeight="1" x14ac:dyDescent="0.35">
      <c r="A1125" t="b">
        <v>1</v>
      </c>
      <c r="B1125" t="b">
        <f xml:space="preserve"> 3 &lt;&gt; 2</f>
        <v>1</v>
      </c>
      <c r="C1125" t="s">
        <v>750</v>
      </c>
    </row>
    <row r="1127" spans="1:14" ht="18" customHeight="1" x14ac:dyDescent="0.35">
      <c r="A1127" t="s">
        <v>751</v>
      </c>
      <c r="B1127" t="s">
        <v>752</v>
      </c>
      <c r="C1127" t="s">
        <v>753</v>
      </c>
    </row>
    <row r="1128" spans="1:14" ht="18" customHeight="1" x14ac:dyDescent="0.35">
      <c r="A1128">
        <v>8</v>
      </c>
      <c r="B1128">
        <f xml:space="preserve"> 2 ^ 3</f>
        <v>8</v>
      </c>
      <c r="C1128" t="s">
        <v>754</v>
      </c>
    </row>
    <row r="1130" spans="1:14" ht="18" customHeight="1" x14ac:dyDescent="0.35">
      <c r="A1130" t="e">
        <f>- unary minus</f>
        <v>#NAME?</v>
      </c>
      <c r="B1130" t="s">
        <v>755</v>
      </c>
      <c r="C1130" t="s">
        <v>756</v>
      </c>
    </row>
    <row r="1131" spans="1:14" ht="18" customHeight="1" x14ac:dyDescent="0.35">
      <c r="A1131">
        <v>-2</v>
      </c>
      <c r="B1131">
        <f xml:space="preserve"> -8 + 6</f>
        <v>-2</v>
      </c>
      <c r="C1131" t="s">
        <v>757</v>
      </c>
    </row>
    <row r="1132" spans="1:14" ht="18" customHeight="1" x14ac:dyDescent="0.35">
      <c r="A1132">
        <v>1.3333333333333299</v>
      </c>
      <c r="B1132">
        <f xml:space="preserve"> -8 / (-6)</f>
        <v>1.3333333333333333</v>
      </c>
      <c r="C1132" t="s">
        <v>758</v>
      </c>
    </row>
    <row r="1133" spans="1:14" ht="18" customHeight="1" x14ac:dyDescent="0.35">
      <c r="N1133" t="s">
        <v>759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venkatesan.rajendran</dc:creator>
  <cp:lastModifiedBy>venkatesan.rajendran</cp:lastModifiedBy>
  <dcterms:created xsi:type="dcterms:W3CDTF">2016-04-28T04:47:35Z</dcterms:created>
  <dcterms:modified xsi:type="dcterms:W3CDTF">2016-05-09T10:50:48Z</dcterms:modified>
</cp:coreProperties>
</file>