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23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iamond/Library/Mobile Documents/com~apple~CloudDocs/CQF/CQF DEV L WEBEX/Module 4 HJM/HJM EXCEL Dev/"/>
    </mc:Choice>
  </mc:AlternateContent>
  <xr:revisionPtr revIDLastSave="0" documentId="13_ncr:1_{C5328471-8D02-4149-84C6-397454193158}" xr6:coauthVersionLast="33" xr6:coauthVersionMax="33" xr10:uidLastSave="{00000000-0000-0000-0000-000000000000}"/>
  <bookViews>
    <workbookView xWindow="5180" yWindow="5740" windowWidth="31620" windowHeight="20780" tabRatio="500" xr2:uid="{00000000-000D-0000-FFFF-FFFF00000000}"/>
  </bookViews>
  <sheets>
    <sheet name="Intro" sheetId="6" r:id="rId1"/>
    <sheet name="Curve" sheetId="2" r:id="rId2"/>
    <sheet name="LIBOR-OIS" sheetId="1" r:id="rId3"/>
    <sheet name="Interpolation" sheetId="3" r:id="rId4"/>
    <sheet name="Exercise" sheetId="4" r:id="rId5"/>
  </sheets>
  <functionGroups builtInGroupCount="19"/>
  <definedNames>
    <definedName name="CPeriods">Curve!$B$25</definedName>
    <definedName name="DeltaT">'LIBOR-OIS'!$D$3</definedName>
    <definedName name="FwdCurve">Curve!$B$28:$S$28</definedName>
    <definedName name="OIS_Spread">'LIBOR-OIS'!$C$56</definedName>
    <definedName name="r_12M">Interpolation!$M$12</definedName>
    <definedName name="r_18M">Interpolation!$S$12</definedName>
    <definedName name="r_1M">Interpolation!$B$12</definedName>
    <definedName name="r_6M">Interpolation!$G$12</definedName>
    <definedName name="SpotCurve">Curve!$B$22:$S$22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1" l="1"/>
  <c r="C25" i="1"/>
  <c r="C51" i="1" s="1"/>
  <c r="C20" i="1"/>
  <c r="C53" i="1" s="1"/>
  <c r="I56" i="1" s="1"/>
  <c r="C52" i="1"/>
  <c r="D25" i="1"/>
  <c r="D20" i="1"/>
  <c r="D52" i="1"/>
  <c r="E25" i="1"/>
  <c r="E20" i="1"/>
  <c r="F25" i="1"/>
  <c r="F20" i="1"/>
  <c r="G25" i="1"/>
  <c r="G51" i="1" s="1"/>
  <c r="G20" i="1"/>
  <c r="G53" i="1" s="1"/>
  <c r="G52" i="1"/>
  <c r="H25" i="1"/>
  <c r="H20" i="1"/>
  <c r="H52" i="1"/>
  <c r="I25" i="1"/>
  <c r="I20" i="1"/>
  <c r="J25" i="1"/>
  <c r="J52" i="1" s="1"/>
  <c r="J20" i="1"/>
  <c r="K25" i="1"/>
  <c r="K51" i="1" s="1"/>
  <c r="K20" i="1"/>
  <c r="K53" i="1" s="1"/>
  <c r="K52" i="1"/>
  <c r="L25" i="1"/>
  <c r="L20" i="1"/>
  <c r="L52" i="1"/>
  <c r="D53" i="1"/>
  <c r="E53" i="1"/>
  <c r="F53" i="1"/>
  <c r="H53" i="1"/>
  <c r="I53" i="1"/>
  <c r="J53" i="1"/>
  <c r="L53" i="1"/>
  <c r="B53" i="1"/>
  <c r="C18" i="1"/>
  <c r="C19" i="1" s="1"/>
  <c r="D18" i="1"/>
  <c r="D51" i="1"/>
  <c r="E18" i="1"/>
  <c r="E19" i="1" s="1"/>
  <c r="F18" i="1"/>
  <c r="F51" i="1"/>
  <c r="G18" i="1"/>
  <c r="H18" i="1"/>
  <c r="H51" i="1"/>
  <c r="I18" i="1"/>
  <c r="I19" i="1" s="1"/>
  <c r="J18" i="1"/>
  <c r="J51" i="1"/>
  <c r="K18" i="1"/>
  <c r="L18" i="1"/>
  <c r="L51" i="1"/>
  <c r="J56" i="1"/>
  <c r="C61" i="1"/>
  <c r="D61" i="1"/>
  <c r="D68" i="1"/>
  <c r="E61" i="1"/>
  <c r="E68" i="1"/>
  <c r="F61" i="1"/>
  <c r="F68" i="1"/>
  <c r="G61" i="1"/>
  <c r="G68" i="1"/>
  <c r="H61" i="1"/>
  <c r="H68" i="1"/>
  <c r="I61" i="1"/>
  <c r="I68" i="1"/>
  <c r="J61" i="1"/>
  <c r="J68" i="1"/>
  <c r="K61" i="1"/>
  <c r="K68" i="1"/>
  <c r="L61" i="1"/>
  <c r="L68" i="1"/>
  <c r="C42" i="1"/>
  <c r="D42" i="1"/>
  <c r="F42" i="1"/>
  <c r="G42" i="1"/>
  <c r="H42" i="1"/>
  <c r="J42" i="1"/>
  <c r="K42" i="1"/>
  <c r="L42" i="1"/>
  <c r="C43" i="1"/>
  <c r="O13" i="3"/>
  <c r="P13" i="3"/>
  <c r="Q13" i="3"/>
  <c r="R13" i="3"/>
  <c r="N13" i="3"/>
  <c r="I13" i="3"/>
  <c r="J13" i="3"/>
  <c r="K13" i="3"/>
  <c r="L13" i="3"/>
  <c r="H13" i="3"/>
  <c r="D13" i="3"/>
  <c r="E13" i="3"/>
  <c r="F13" i="3"/>
  <c r="C13" i="3"/>
  <c r="B66" i="2" a="1"/>
  <c r="B66" i="2"/>
  <c r="F66" i="2"/>
  <c r="G66" i="2"/>
  <c r="K66" i="2"/>
  <c r="M66" i="2"/>
  <c r="Q66" i="2"/>
  <c r="R66" i="2"/>
  <c r="C24" i="2"/>
  <c r="D24" i="2"/>
  <c r="D28" i="2" s="1"/>
  <c r="E24" i="2"/>
  <c r="E28" i="2" s="1"/>
  <c r="F24" i="2"/>
  <c r="G24" i="2"/>
  <c r="H24" i="2"/>
  <c r="H28" i="2" s="1"/>
  <c r="I24" i="2"/>
  <c r="I28" i="2" s="1"/>
  <c r="J24" i="2"/>
  <c r="K24" i="2"/>
  <c r="L24" i="2"/>
  <c r="L28" i="2" s="1"/>
  <c r="M24" i="2"/>
  <c r="N28" i="2" s="1"/>
  <c r="N24" i="2"/>
  <c r="O24" i="2"/>
  <c r="P24" i="2"/>
  <c r="P28" i="2" s="1"/>
  <c r="Q24" i="2"/>
  <c r="Q28" i="2" s="1"/>
  <c r="R24" i="2"/>
  <c r="S24" i="2"/>
  <c r="B24" i="2"/>
  <c r="C28" i="2" s="1"/>
  <c r="E25" i="2"/>
  <c r="G28" i="2"/>
  <c r="K28" i="2"/>
  <c r="M28" i="2"/>
  <c r="O28" i="2"/>
  <c r="R28" i="2"/>
  <c r="S28" i="2"/>
  <c r="B23" i="2"/>
  <c r="B27" i="2"/>
  <c r="C23" i="2"/>
  <c r="D27" i="2" s="1"/>
  <c r="D33" i="2" s="1"/>
  <c r="D23" i="2"/>
  <c r="L15" i="1"/>
  <c r="E23" i="2"/>
  <c r="E27" i="2" s="1"/>
  <c r="E33" i="2" s="1"/>
  <c r="F23" i="2"/>
  <c r="G27" i="2" s="1"/>
  <c r="G23" i="2"/>
  <c r="H23" i="2"/>
  <c r="I23" i="2"/>
  <c r="J23" i="2"/>
  <c r="J27" i="2" s="1"/>
  <c r="K23" i="2"/>
  <c r="L23" i="2"/>
  <c r="M23" i="2"/>
  <c r="N23" i="2"/>
  <c r="N27" i="2" s="1"/>
  <c r="O23" i="2"/>
  <c r="P23" i="2"/>
  <c r="Q23" i="2"/>
  <c r="R23" i="2"/>
  <c r="R27" i="2" s="1"/>
  <c r="S23" i="2"/>
  <c r="B69" i="2"/>
  <c r="B33" i="2"/>
  <c r="D15" i="1"/>
  <c r="C15" i="1"/>
  <c r="D36" i="1"/>
  <c r="D37" i="1" s="1"/>
  <c r="E15" i="1"/>
  <c r="E36" i="1" s="1"/>
  <c r="E37" i="1"/>
  <c r="F15" i="1"/>
  <c r="F36" i="1" s="1"/>
  <c r="F37" i="1" s="1"/>
  <c r="G15" i="1"/>
  <c r="H15" i="1"/>
  <c r="H36" i="1"/>
  <c r="H37" i="1"/>
  <c r="I15" i="1"/>
  <c r="I36" i="1" s="1"/>
  <c r="I37" i="1" s="1"/>
  <c r="J15" i="1"/>
  <c r="K15" i="1"/>
  <c r="K36" i="1" s="1"/>
  <c r="K37" i="1" s="1"/>
  <c r="C36" i="1"/>
  <c r="C37" i="1" s="1"/>
  <c r="L27" i="2"/>
  <c r="M27" i="2"/>
  <c r="P27" i="2"/>
  <c r="Q27" i="2"/>
  <c r="S27" i="2"/>
  <c r="H27" i="2"/>
  <c r="I27" i="2"/>
  <c r="G33" i="2"/>
  <c r="R12" i="3"/>
  <c r="Q12" i="3"/>
  <c r="P12" i="3"/>
  <c r="O12" i="3"/>
  <c r="N12" i="3"/>
  <c r="L12" i="3"/>
  <c r="K12" i="3"/>
  <c r="J12" i="3"/>
  <c r="I12" i="3"/>
  <c r="H12" i="3"/>
  <c r="F12" i="3"/>
  <c r="E12" i="3"/>
  <c r="D12" i="3"/>
  <c r="C12" i="3"/>
  <c r="D19" i="1"/>
  <c r="F19" i="1"/>
  <c r="G19" i="1"/>
  <c r="H19" i="1"/>
  <c r="J19" i="1"/>
  <c r="K19" i="1"/>
  <c r="L19" i="1"/>
  <c r="G16" i="1"/>
  <c r="H16" i="1"/>
  <c r="J16" i="1"/>
  <c r="D16" i="1"/>
  <c r="C16" i="1"/>
  <c r="D1" i="3"/>
  <c r="B70" i="2" a="1"/>
  <c r="B56" i="3" a="1"/>
  <c r="D56" i="3" l="1"/>
  <c r="H56" i="3"/>
  <c r="L56" i="3"/>
  <c r="P56" i="3"/>
  <c r="E56" i="3"/>
  <c r="J56" i="3"/>
  <c r="O56" i="3"/>
  <c r="F56" i="3"/>
  <c r="K56" i="3"/>
  <c r="Q56" i="3"/>
  <c r="B56" i="3"/>
  <c r="G56" i="3"/>
  <c r="M56" i="3"/>
  <c r="R56" i="3"/>
  <c r="C56" i="3"/>
  <c r="I56" i="3"/>
  <c r="N56" i="3"/>
  <c r="S56" i="3"/>
  <c r="C70" i="2"/>
  <c r="C71" i="2" s="1"/>
  <c r="H70" i="2"/>
  <c r="H71" i="2" s="1"/>
  <c r="J70" i="2"/>
  <c r="J71" i="2" s="1"/>
  <c r="O70" i="2"/>
  <c r="O71" i="2" s="1"/>
  <c r="R70" i="2"/>
  <c r="R71" i="2" s="1"/>
  <c r="F70" i="2"/>
  <c r="F71" i="2" s="1"/>
  <c r="B70" i="2"/>
  <c r="B71" i="2" s="1"/>
  <c r="M70" i="2"/>
  <c r="M71" i="2" s="1"/>
  <c r="P70" i="2"/>
  <c r="P71" i="2" s="1"/>
  <c r="D70" i="2"/>
  <c r="D71" i="2" s="1"/>
  <c r="G70" i="2"/>
  <c r="G71" i="2" s="1"/>
  <c r="K70" i="2"/>
  <c r="K71" i="2" s="1"/>
  <c r="N70" i="2"/>
  <c r="N71" i="2" s="1"/>
  <c r="S70" i="2"/>
  <c r="S71" i="2" s="1"/>
  <c r="E70" i="2"/>
  <c r="E71" i="2" s="1"/>
  <c r="I70" i="2"/>
  <c r="I71" i="2" s="1"/>
  <c r="L70" i="2"/>
  <c r="L71" i="2" s="1"/>
  <c r="Q70" i="2"/>
  <c r="Q71" i="2" s="1"/>
  <c r="G34" i="2"/>
  <c r="F43" i="1"/>
  <c r="D43" i="1"/>
  <c r="E51" i="1"/>
  <c r="E52" i="1"/>
  <c r="E42" i="1"/>
  <c r="H43" i="1" s="1"/>
  <c r="K16" i="1"/>
  <c r="D34" i="2"/>
  <c r="J36" i="1"/>
  <c r="J37" i="1" s="1"/>
  <c r="G36" i="1"/>
  <c r="G37" i="1" s="1"/>
  <c r="C27" i="2"/>
  <c r="C33" i="2" s="1"/>
  <c r="C34" i="2" s="1"/>
  <c r="B80" i="2"/>
  <c r="B81" i="2" s="1"/>
  <c r="F28" i="2"/>
  <c r="D66" i="2"/>
  <c r="D69" i="2" s="1"/>
  <c r="H66" i="2"/>
  <c r="L66" i="2"/>
  <c r="P66" i="2"/>
  <c r="I43" i="1"/>
  <c r="F16" i="1"/>
  <c r="E34" i="2"/>
  <c r="F27" i="2"/>
  <c r="F33" i="2" s="1"/>
  <c r="K27" i="2"/>
  <c r="L36" i="1"/>
  <c r="L37" i="1" s="1"/>
  <c r="L16" i="1"/>
  <c r="J28" i="2"/>
  <c r="O66" i="2"/>
  <c r="J66" i="2"/>
  <c r="E66" i="2"/>
  <c r="E69" i="2" s="1"/>
  <c r="I51" i="1"/>
  <c r="I52" i="1"/>
  <c r="C56" i="1" s="1"/>
  <c r="I42" i="1"/>
  <c r="F52" i="1"/>
  <c r="I16" i="1"/>
  <c r="E16" i="1"/>
  <c r="F34" i="2"/>
  <c r="O27" i="2"/>
  <c r="B34" i="2"/>
  <c r="B76" i="2"/>
  <c r="B77" i="2" s="1"/>
  <c r="B28" i="2"/>
  <c r="S66" i="2"/>
  <c r="N66" i="2"/>
  <c r="I66" i="2"/>
  <c r="C66" i="2"/>
  <c r="C69" i="2" s="1"/>
  <c r="G65" i="1" l="1"/>
  <c r="G70" i="1" s="1"/>
  <c r="K65" i="1"/>
  <c r="K70" i="1" s="1"/>
  <c r="F65" i="1"/>
  <c r="F70" i="1" s="1"/>
  <c r="J65" i="1"/>
  <c r="J70" i="1" s="1"/>
  <c r="E65" i="1"/>
  <c r="E70" i="1" s="1"/>
  <c r="I65" i="1"/>
  <c r="I70" i="1" s="1"/>
  <c r="L65" i="1"/>
  <c r="L70" i="1" s="1"/>
  <c r="C65" i="1"/>
  <c r="C70" i="1" s="1"/>
  <c r="C71" i="1" s="1"/>
  <c r="H65" i="1"/>
  <c r="H70" i="1" s="1"/>
  <c r="D65" i="1"/>
  <c r="D70" i="1" s="1"/>
  <c r="C80" i="2"/>
  <c r="C81" i="2" s="1"/>
  <c r="E80" i="2"/>
  <c r="E81" i="2" s="1"/>
  <c r="G43" i="1"/>
  <c r="E43" i="1"/>
  <c r="B52" i="1"/>
  <c r="J43" i="1"/>
  <c r="D80" i="2"/>
  <c r="D81" i="2" s="1"/>
  <c r="L43" i="1"/>
  <c r="B67" i="2" a="1"/>
  <c r="K43" i="1"/>
  <c r="B51" i="1"/>
  <c r="D67" i="2" l="1"/>
  <c r="D73" i="2" s="1"/>
  <c r="O67" i="2"/>
  <c r="O73" i="2" s="1"/>
  <c r="L67" i="2"/>
  <c r="L73" i="2" s="1"/>
  <c r="G67" i="2"/>
  <c r="G73" i="2" s="1"/>
  <c r="B67" i="2"/>
  <c r="Q67" i="2"/>
  <c r="Q73" i="2" s="1"/>
  <c r="N67" i="2"/>
  <c r="N73" i="2" s="1"/>
  <c r="I67" i="2"/>
  <c r="I73" i="2" s="1"/>
  <c r="F67" i="2"/>
  <c r="F73" i="2" s="1"/>
  <c r="C67" i="2"/>
  <c r="S67" i="2"/>
  <c r="S73" i="2" s="1"/>
  <c r="P67" i="2"/>
  <c r="P73" i="2" s="1"/>
  <c r="K67" i="2"/>
  <c r="K73" i="2" s="1"/>
  <c r="H67" i="2"/>
  <c r="H73" i="2" s="1"/>
  <c r="E67" i="2"/>
  <c r="E73" i="2" s="1"/>
  <c r="R67" i="2"/>
  <c r="R73" i="2" s="1"/>
  <c r="M67" i="2"/>
  <c r="M73" i="2" s="1"/>
  <c r="J67" i="2"/>
  <c r="J73" i="2" s="1"/>
  <c r="C76" i="2" l="1"/>
  <c r="C77" i="2" s="1"/>
  <c r="D76" i="2"/>
  <c r="D77" i="2" s="1"/>
  <c r="E76" i="2"/>
  <c r="E77" i="2" s="1"/>
  <c r="C7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Diamond</author>
  </authors>
  <commentList>
    <comment ref="A16" authorId="0" shapeId="0" xr:uid="{00000000-0006-0000-0200-000001000000}">
      <text>
        <r>
          <rPr>
            <b/>
            <sz val="9"/>
            <color indexed="81"/>
            <rFont val="Arial"/>
            <family val="2"/>
          </rPr>
          <t>Richard Diamond:</t>
        </r>
        <r>
          <rPr>
            <sz val="9"/>
            <color indexed="81"/>
            <rFont val="Arial"/>
            <family val="2"/>
          </rPr>
          <t xml:space="preserve">
ZCB yield gives a spot rate, here backed out from a forward curve built from AA-rated liabilities.</t>
        </r>
      </text>
    </comment>
  </commentList>
</comments>
</file>

<file path=xl/sharedStrings.xml><?xml version="1.0" encoding="utf-8"?>
<sst xmlns="http://schemas.openxmlformats.org/spreadsheetml/2006/main" count="196" uniqueCount="179">
  <si>
    <t>Suggested Exercises:</t>
  </si>
  <si>
    <t>increment Delta T, monthly</t>
  </si>
  <si>
    <t>Interpolation</t>
  </si>
  <si>
    <t xml:space="preserve"> L(0; T, T+0.5)</t>
  </si>
  <si>
    <t>ZCB and LIBOR implied by a forward curve</t>
  </si>
  <si>
    <t>Tenor, T</t>
  </si>
  <si>
    <t>OIS Spot</t>
  </si>
  <si>
    <t>OIS DF</t>
  </si>
  <si>
    <t>1. Naïve par curve</t>
  </si>
  <si>
    <t>Stripped from coupons for bonds priced 'at par' of $1.</t>
  </si>
  <si>
    <t>2. Forward curve</t>
  </si>
  <si>
    <t>Implied Spot</t>
  </si>
  <si>
    <t>From government bonds, interest rate swaps (fixed leg)</t>
  </si>
  <si>
    <t>2. Spot curve (zero-coupon)</t>
  </si>
  <si>
    <t>Yield Curves</t>
  </si>
  <si>
    <t>Let's take the short end of the spot curve from BOE data and boostrap forward rates</t>
  </si>
  <si>
    <t>Month</t>
  </si>
  <si>
    <t>Interpolated Curve</t>
  </si>
  <si>
    <t>Let's compare to the finite BOE data of the short end</t>
  </si>
  <si>
    <t>Beware of other non-continuous day counts applied to debt, eg, 30360 ISDA Standard</t>
  </si>
  <si>
    <t xml:space="preserve"> - Time-weighting ensures that 'closer rate' makes more impact</t>
  </si>
  <si>
    <t>t_i</t>
  </si>
  <si>
    <t>t_i+1</t>
  </si>
  <si>
    <t>t</t>
  </si>
  <si>
    <t>Linear on spot rates</t>
  </si>
  <si>
    <t>Fwd rates (smoothed)</t>
  </si>
  <si>
    <t>Fwd (non-continous)</t>
  </si>
  <si>
    <t xml:space="preserve"> - Linear interpolation produces instability for the domain of forward rates (see right plot). Why? (see below)</t>
  </si>
  <si>
    <t>1. Interpolation</t>
  </si>
  <si>
    <t>(a) Compare to caluclation at tenors 12M, 18M, 24M, etc. done on LIBOR tab.</t>
  </si>
  <si>
    <t>…</t>
  </si>
  <si>
    <t>By bootstrapping from spot curve (requires smoothing)</t>
  </si>
  <si>
    <t>Pat Hagan: "What needs to be stressed is that in the case of bootstrapping yield curves, the interpolation method is intimately connected to the bootstrap."</t>
  </si>
  <si>
    <t>BOE provides instantaneous forward rates, calculated using Variable Roughness Penalty (VRP) function on interpolation</t>
  </si>
  <si>
    <t>Bootstrapping Forward Curve</t>
  </si>
  <si>
    <t>Spot, %</t>
  </si>
  <si>
    <t>etc.</t>
  </si>
  <si>
    <r>
      <rPr>
        <b/>
        <sz val="10"/>
        <rFont val="Calibri"/>
        <family val="2"/>
      </rPr>
      <t>Disclaimer:</t>
    </r>
    <r>
      <rPr>
        <sz val="10"/>
        <rFont val="Calibri"/>
        <family val="2"/>
      </rPr>
      <t xml:space="preserve"> Effort was made to ensure that formulae applied appropriately and calculatons are correct, however any use is at your own risk.</t>
    </r>
  </si>
  <si>
    <t>Z(T, T+0.5)</t>
  </si>
  <si>
    <t>Market spot rates</t>
  </si>
  <si>
    <t>Explicit Bootstrapping</t>
  </si>
  <si>
    <t>f_i</t>
  </si>
  <si>
    <t>etc., recursive bootstrapping is best implemented as a VBA function (line below)</t>
  </si>
  <si>
    <t>Explicit fwd</t>
  </si>
  <si>
    <t>Also, going back from instantaneous forwards to spot rates by explict bootstrapping gives different results</t>
  </si>
  <si>
    <t>(1+f_i)^i</t>
  </si>
  <si>
    <t>Spot, r</t>
  </si>
  <si>
    <t>Compare with going back from explicit forwards [one expects them to match]</t>
  </si>
  <si>
    <t>Eps vs Instantaneous</t>
  </si>
  <si>
    <t>The no arbitrage relationship (between the long-term spot rate and a series of forward rates) is as follows:</t>
  </si>
  <si>
    <t>http://www.bankofengland.co.uk/statistics/Pages/yieldcurve/archive.aspx</t>
  </si>
  <si>
    <t>http://www.bankofengland.co.uk/statistics/Documents/yieldcurve/ukois09_mdaily.xls</t>
  </si>
  <si>
    <t>Pound Sterling Bank Liability Curve (BLC) is built from the LIBOR-linked instruments (LIBOR fixes up to 18M, then FRAs).</t>
  </si>
  <si>
    <t>Forward and spot rate data is available in 1M increment up to 5Y, also in 0.5Y increment up to 25Y.</t>
  </si>
  <si>
    <t>- Using instantaneous forward rate formulae (continous rate maths) on discrete data works here.</t>
  </si>
  <si>
    <t>where</t>
  </si>
  <si>
    <t>The file also provides an example of sensitivity analysis for a product (Forward Rate Agreement), priced off the interpolated curve.</t>
  </si>
  <si>
    <t>3. Forward LIBOR. Caplet pricing</t>
  </si>
  <si>
    <t>Now that you have a set of forward LIBORs, calculate payoffs for a set of forward-starting caplets.</t>
  </si>
  <si>
    <t>(a) Linear on the log of discounting factors (known as 'raw interpolation').</t>
  </si>
  <si>
    <t>(d) A monotone-preserving (convex) spline as adapted for the forward rates.</t>
  </si>
  <si>
    <t>Data</t>
  </si>
  <si>
    <t>(a) Compare spot and swap curves (if you can source data) to the OIS curve provided by the Bank of England.</t>
  </si>
  <si>
    <t>Information:</t>
  </si>
  <si>
    <t>All data is Bank Liability Curve as of 30 January 2015</t>
  </si>
  <si>
    <t>LIBOR tab shows how to calculate ZCB prices (discount factors) implied by the forward curve and obtain Forward LIBOR rates, which are required for caplet cashflow calculation.</t>
  </si>
  <si>
    <t>Linear interpolation on spot rates generates non-continuity and instability for the forward rates. Exercise scheme provides a map for learning advanced interpolation methods.</t>
  </si>
  <si>
    <t>Demonstrations in this spreadsheet have been kept deliberately simple to help comprehension of maths surrounding forward rates.</t>
  </si>
  <si>
    <t>(1) Obtaining 'missing tenors' for the same kind of interest rate, where t_i &lt; t &lt; t_i+1; or</t>
  </si>
  <si>
    <t>(2) Interpolating forward rates from spot rates -- this is curve construction and implicit bootstrapping.</t>
  </si>
  <si>
    <t>Interpolation can refer to two different processes:</t>
  </si>
  <si>
    <t>This spreadsheet demonstrates bootstrapping of forward rates from spot rates by (a) instantaneous fwd rate formulae and (b) no arbitrage argument.</t>
  </si>
  <si>
    <t>Let's take the spot curve from BOE data and interpolate to 1M increments. The second row has forward rates boostrapped directly from the spot rates.</t>
  </si>
  <si>
    <t xml:space="preserve"> - Interpolation is from the known inputs (vs. iterative midpoint)</t>
  </si>
  <si>
    <t>Actual Curve from BOE data on the short end (up to 5Y)</t>
  </si>
  <si>
    <t xml:space="preserve"> - Linear interpolation: when time reaches t_i+1, the impact of r_t is weighted at zero—the rate from t_i has been forgotten.</t>
  </si>
  <si>
    <t xml:space="preserve"> - Here forward rates bootstapped naively from a sparse spot rates input.</t>
  </si>
  <si>
    <t>Implement interpolaiton methods that are more advanced than linear on the spot rates. Consider assumptions they carry for the forward rates (e.g., piecewise constant, continuous to data, instantaneous, etc.)</t>
  </si>
  <si>
    <t>(b) The log-linear interpolation over discount factors -- what does it imply in terms of spot rates? (make derivations).</t>
  </si>
  <si>
    <t>(c) The section of curve interpolated here does not have zig-zag instability, however, for which methods it occurs?</t>
  </si>
  <si>
    <t>(c) Natural cubic spline interpolation.</t>
  </si>
  <si>
    <t>Calculate Z(0;T), implied by the forward curve using the curve data of 1M increments (both, actual and interpolated).</t>
  </si>
  <si>
    <t>2. Discounting</t>
  </si>
  <si>
    <t>(b) Implement a root-finding method to automate the conversion of caplet price into IV.</t>
  </si>
  <si>
    <t>(c) Explore fitting functions for caplet volatility of a particular tenor, sigma(T). (See volatility fitting in the LIBOR Market Model)</t>
  </si>
  <si>
    <t>(a) Convert the price of each caplet into implied volatility by setting up Black formula and using Solver. (see CQF Project Q&amp;A)</t>
  </si>
  <si>
    <r>
      <rPr>
        <b/>
        <i/>
        <sz val="9"/>
        <rFont val="Calibri"/>
        <family val="2"/>
      </rPr>
      <t>From:</t>
    </r>
    <r>
      <rPr>
        <i/>
        <sz val="9"/>
        <rFont val="Calibri"/>
        <family val="2"/>
      </rPr>
      <t xml:space="preserve"> Yield curve, Spot and Forward Rates (Choudhry 2008)</t>
    </r>
  </si>
  <si>
    <r>
      <rPr>
        <b/>
        <sz val="9"/>
        <rFont val="Calibri"/>
        <family val="2"/>
      </rPr>
      <t>UPDATE</t>
    </r>
    <r>
      <rPr>
        <sz val="9"/>
        <rFont val="Calibri"/>
        <family val="2"/>
      </rPr>
      <t xml:space="preserve"> The Bank of England provides OIS spot rates in the same format as above, suitable to calculate discount factors, when pricing caps and floors.</t>
    </r>
  </si>
  <si>
    <t>The next idea is to take the spot curve from 5Y to 25Y and interpolate in 3M tenors (as required for caplet pricing)</t>
  </si>
  <si>
    <t>Spot curve input</t>
  </si>
  <si>
    <t>Implementation using a VBA function</t>
  </si>
  <si>
    <t xml:space="preserve"> - By log-linear on discount factors (known as raw interpolation)</t>
  </si>
  <si>
    <t xml:space="preserve"> - By monotone convex method</t>
  </si>
  <si>
    <t>1) Best to start with "Methods for Constructing a Yield Curve" by Pat Hagan and Graeme West in  WILMOTT (May-June 2008).</t>
  </si>
  <si>
    <t>Forward curve is built from the IRS curve (swap curve) converted into ZCB yield (spot rates). Sections of the curve are interpolated locally, between two known input values.</t>
  </si>
  <si>
    <t>2) Implementation of the advanced interpolation is available in "Interpolation and FRA.xlsm" from CQF Extra on Today's LIBOR Framework.</t>
  </si>
  <si>
    <t>Z(0, T)</t>
  </si>
  <si>
    <t>3.1 Direct calculation by FRA formula</t>
  </si>
  <si>
    <t>3.2 Equivalent formula that relies on forward-starting DF for [T, T+0.5].</t>
  </si>
  <si>
    <t>- discount factors Z(0; T_i), implied by the forward curve, are calculated above.</t>
  </si>
  <si>
    <t>BOE Fwd</t>
  </si>
  <si>
    <t>Z(T, T_i+1)</t>
  </si>
  <si>
    <t>Z(0, T_i+1)</t>
  </si>
  <si>
    <t>Bootstrapped Fwd</t>
  </si>
  <si>
    <t>Continious</t>
  </si>
  <si>
    <t>Discrete</t>
  </si>
  <si>
    <r>
      <t xml:space="preserve">Bootstrapped forward curve implies </t>
    </r>
    <r>
      <rPr>
        <b/>
        <sz val="9"/>
        <rFont val="Calibri"/>
        <family val="2"/>
      </rPr>
      <t>the same</t>
    </r>
    <r>
      <rPr>
        <sz val="9"/>
        <rFont val="Calibri"/>
        <family val="2"/>
      </rPr>
      <t xml:space="preserve"> discounting factors as the spot curve (follows from the formula)</t>
    </r>
  </si>
  <si>
    <t>Discrete Z(0,T)</t>
  </si>
  <si>
    <t>Using 1/(1+r)^T formula, where r/n requires T*n</t>
  </si>
  <si>
    <t>Spot</t>
  </si>
  <si>
    <t>The "no arbitrage" relationship and solution to bootstrapping problem is as follows:</t>
  </si>
  <si>
    <t>Take a ready boostrapped forward curve from above.</t>
  </si>
  <si>
    <t>Bootstrapped fwd</t>
  </si>
  <si>
    <t>Discrete forward rates give better fit to the BOE rates. Why? What if we use Forward LIBOR formula that relies on Z(T, T_i+1)?</t>
  </si>
  <si>
    <t>period(s) of compounding has frequency:</t>
  </si>
  <si>
    <t>Think of 1/(1+f)^(T_i+1 -- T_i) = Z(T, T_i+1)</t>
  </si>
  <si>
    <t xml:space="preserve"> Implied DF(0; T)</t>
  </si>
  <si>
    <t>4. OIS-LIBOR spread</t>
  </si>
  <si>
    <t>3. OIS Discounting</t>
  </si>
  <si>
    <t>LIBOR DF(0; T+0.5)</t>
  </si>
  <si>
    <r>
      <rPr>
        <b/>
        <sz val="9"/>
        <rFont val="Calibri"/>
        <family val="2"/>
      </rPr>
      <t>Bank Liability Curve</t>
    </r>
    <r>
      <rPr>
        <sz val="9"/>
        <rFont val="Calibri"/>
        <family val="2"/>
      </rPr>
      <t xml:space="preserve"> gives a set of AA-rated long-term LIBORs L(0; 0, T+0.5)</t>
    </r>
  </si>
  <si>
    <t>Calculated using integration 'under the curve' (discretised integration is summation).</t>
  </si>
  <si>
    <r>
      <t xml:space="preserve">These foward rates are </t>
    </r>
    <r>
      <rPr>
        <b/>
        <sz val="9"/>
        <rFont val="Calibri"/>
        <family val="2"/>
      </rPr>
      <t>instantaneous</t>
    </r>
    <r>
      <rPr>
        <sz val="9"/>
        <rFont val="Calibri"/>
        <family val="2"/>
      </rPr>
      <t>! Apply to tenor point [T,T] only.</t>
    </r>
  </si>
  <si>
    <r>
      <t xml:space="preserve">Rolling </t>
    </r>
    <r>
      <rPr>
        <u/>
        <sz val="9"/>
        <rFont val="Calibri"/>
        <family val="2"/>
      </rPr>
      <t>Forward LIBOR can also be readily simulated by LMM (by column)</t>
    </r>
  </si>
  <si>
    <r>
      <t xml:space="preserve">Inst. forward curves like above </t>
    </r>
    <r>
      <rPr>
        <u/>
        <sz val="9"/>
        <rFont val="Calibri"/>
        <family val="2"/>
      </rPr>
      <t>can be simulated in HJM (by row)</t>
    </r>
  </si>
  <si>
    <t>but still reference a risk-free O/N rate over that period (by geometric averaging)</t>
  </si>
  <si>
    <t>Overnight index swaps (OIS) -- are computed for longer terms (3M to 2Y),</t>
  </si>
  <si>
    <t>Pricing an IRS under LMM would use rates from a curve like this,</t>
  </si>
  <si>
    <t>but credit risk argument suggests exchanging cashflows linked to tau=0.5 credit risk only,</t>
  </si>
  <si>
    <t xml:space="preserve"> -- e.g., does the collateralised swap implies flat Forward LIBOR curve?</t>
  </si>
  <si>
    <t>1. Inst. Forward Curve</t>
  </si>
  <si>
    <t>3. Forward LIBOR (discrete)</t>
  </si>
  <si>
    <t>2. Zero-Coupon Bond (AA rated) vs OIS DF</t>
  </si>
  <si>
    <t>OISvsLIBOR (Hull&amp;White 2013): discounting rate should NOT include credit risk</t>
  </si>
  <si>
    <t>Inst Forward</t>
  </si>
  <si>
    <t>Inst. Forwad OIS</t>
  </si>
  <si>
    <t>Data from 30/01/2015, row 1592 from ukois09_mdaily.xlsx</t>
  </si>
  <si>
    <r>
      <rPr>
        <b/>
        <sz val="9"/>
        <rFont val="Calibri"/>
        <family val="2"/>
      </rPr>
      <t xml:space="preserve">LIBOR is a simple annualised rate. Applies to the period [T, T+0.5]. </t>
    </r>
    <r>
      <rPr>
        <sz val="9"/>
        <rFont val="Calibri"/>
        <family val="2"/>
      </rPr>
      <t xml:space="preserve"> Resetting at time T, these rates suitable for calcualting the payoff of each consequitive forward-starting caplet or an IRS</t>
    </r>
  </si>
  <si>
    <r>
      <t xml:space="preserve">3.3 Discrete DF from the Forward LIBOR - </t>
    </r>
    <r>
      <rPr>
        <b/>
        <sz val="9"/>
        <rFont val="Calibri"/>
        <family val="2"/>
      </rPr>
      <t>for the period [0, T+0.5]</t>
    </r>
  </si>
  <si>
    <t>DF (*) from Inst. Forward curve -- continious rates // integration over the inst. fwd curve</t>
  </si>
  <si>
    <r>
      <t>DF (**) from Fwd LIBOR curve -- discrete rates</t>
    </r>
    <r>
      <rPr>
        <sz val="9"/>
        <rFont val="Calibri"/>
        <family val="2"/>
      </rPr>
      <t xml:space="preserve"> (but mathematically equivaent to the product of Z_inst (T_i, T_i+1)</t>
    </r>
  </si>
  <si>
    <t>Fwd LIBOR</t>
  </si>
  <si>
    <t>fbar(t, tau)</t>
  </si>
  <si>
    <t>bps</t>
  </si>
  <si>
    <t>spread</t>
  </si>
  <si>
    <t>Implied Fwd OIS</t>
  </si>
  <si>
    <t>Data from 30/01/2015, row 2635 from ukblc05_mdaily.xlsx</t>
  </si>
  <si>
    <t>Data from 27/02/2015, row 2655 from ukblc05_mdaily.xlsx</t>
  </si>
  <si>
    <t>Data from 27/02/2015, row 1612 from ukois09_mdaily.xlsx</t>
  </si>
  <si>
    <t>Estimation Error</t>
  </si>
  <si>
    <t>Avg Error</t>
  </si>
  <si>
    <t>L (t; T, T+0.5)</t>
  </si>
  <si>
    <t>increment Delta T=tau in LMM formulae</t>
  </si>
  <si>
    <t>Let's suppose that we re-simulated the inst. forward curve (or new LIBOR data came next period)</t>
  </si>
  <si>
    <t>Implications:</t>
  </si>
  <si>
    <t xml:space="preserve"> -- given the small error for most tenors -- no point in introducing </t>
  </si>
  <si>
    <t xml:space="preserve"> -- integration done over a single data point.</t>
  </si>
  <si>
    <t>The corrected data came in later and the actual curve worked out as</t>
  </si>
  <si>
    <r>
      <rPr>
        <b/>
        <sz val="9"/>
        <rFont val="Calibri"/>
        <family val="2"/>
      </rPr>
      <t xml:space="preserve"> </t>
    </r>
    <r>
      <rPr>
        <sz val="9"/>
        <rFont val="Calibri"/>
        <family val="2"/>
      </rPr>
      <t xml:space="preserve">-- a system of </t>
    </r>
    <r>
      <rPr>
        <u/>
        <sz val="9"/>
        <rFont val="Calibri"/>
        <family val="2"/>
      </rPr>
      <t>two OIS spreads</t>
    </r>
    <r>
      <rPr>
        <sz val="9"/>
        <rFont val="Calibri"/>
        <family val="2"/>
      </rPr>
      <t>:</t>
    </r>
    <r>
      <rPr>
        <b/>
        <sz val="9"/>
        <rFont val="Calibri"/>
        <family val="2"/>
      </rPr>
      <t xml:space="preserve"> short-term (to 1Y)</t>
    </r>
    <r>
      <rPr>
        <sz val="9"/>
        <rFont val="Calibri"/>
        <family val="2"/>
      </rPr>
      <t xml:space="preserve"> and </t>
    </r>
    <r>
      <rPr>
        <b/>
        <sz val="9"/>
        <rFont val="Calibri"/>
        <family val="2"/>
      </rPr>
      <t>long-term (to 5Y)</t>
    </r>
    <r>
      <rPr>
        <sz val="9"/>
        <rFont val="Calibri"/>
        <family val="2"/>
      </rPr>
      <t xml:space="preserve"> might work well</t>
    </r>
  </si>
  <si>
    <t>(inst. rates)</t>
  </si>
  <si>
    <t>(discrete rates)</t>
  </si>
  <si>
    <t>LIBOR-OIS (spot)</t>
  </si>
  <si>
    <t>LIBOR - Fwd OIS</t>
  </si>
  <si>
    <t>LIBOR-Fwd OIS</t>
  </si>
  <si>
    <t>Fwd Inst -Fwd OIS</t>
  </si>
  <si>
    <t>Fwd Inst - Fwd OIS</t>
  </si>
  <si>
    <t xml:space="preserve"> Data gives the spread that is different for each tenor.</t>
  </si>
  <si>
    <t xml:space="preserve"> Average, bps.  Evaluate the range as well</t>
  </si>
  <si>
    <t>Simple calculation, however subtracting OIS spot rates from rolling Forward LIBOR gives large variation in spreads vs. tenors</t>
  </si>
  <si>
    <t>Fwd Inst</t>
  </si>
  <si>
    <t>LIBOR is discrete Fwd LIBOR, while Fwd OIS is taken from an instantaneous curve.</t>
  </si>
  <si>
    <t>However, no new OIS curve available (or the new OIS data is stale)!</t>
  </si>
  <si>
    <t>both are in forward terms</t>
  </si>
  <si>
    <t>(discrete rate - inst. rate)</t>
  </si>
  <si>
    <t>(inst. rate - inst. rate) -- more exact than above but little numerical difference</t>
  </si>
  <si>
    <t>Three choices below:</t>
  </si>
  <si>
    <r>
      <t xml:space="preserve">Each tenor column represents </t>
    </r>
    <r>
      <rPr>
        <b/>
        <sz val="9"/>
        <rFont val="Calibri"/>
        <family val="2"/>
      </rPr>
      <t>credit risk</t>
    </r>
    <r>
      <rPr>
        <sz val="9"/>
        <rFont val="Calibri"/>
        <family val="2"/>
      </rPr>
      <t xml:space="preserve"> of a money market rate (1Y loan, 2Y loan, etc.). Rolling risk-neutral forward measure means separate measure for each L(t)_j where j refers to tenor 6M, 12M, 18M</t>
    </r>
  </si>
  <si>
    <r>
      <rPr>
        <b/>
        <sz val="9"/>
        <rFont val="Calibri"/>
        <family val="2"/>
      </rPr>
      <t xml:space="preserve"> </t>
    </r>
    <r>
      <rPr>
        <sz val="9"/>
        <rFont val="Calibri"/>
        <family val="2"/>
      </rPr>
      <t>-- the alternative to constant LOIS spread is its tenor basis "curve" (another application of such curve is LMM model to achieve better recalcuation of re-simulated LIBOR into caplets)</t>
    </r>
  </si>
  <si>
    <r>
      <t xml:space="preserve">Version 3.3   June 2018  Richard Diamond. Quieries to </t>
    </r>
    <r>
      <rPr>
        <u/>
        <sz val="10"/>
        <rFont val="Calibri"/>
        <family val="2"/>
      </rPr>
      <t>r.diamond@cqf.com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</si>
</sst>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%"/>
    <numFmt numFmtId="165" formatCode="0.0"/>
    <numFmt numFmtId="166" formatCode="0.0000"/>
    <numFmt numFmtId="167" formatCode="0.000000"/>
  </numFmts>
  <fonts count="21" x14ac:knownFonts="1">
    <font>
      <sz val="10"/>
      <name val="Arial"/>
    </font>
    <font>
      <sz val="10"/>
      <name val="Arial"/>
      <family val="2"/>
    </font>
    <font>
      <sz val="10"/>
      <name val="Calibri"/>
      <family val="2"/>
    </font>
    <font>
      <b/>
      <u/>
      <sz val="12"/>
      <name val="Calibri"/>
      <family val="2"/>
    </font>
    <font>
      <b/>
      <sz val="10"/>
      <name val="Calibri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9"/>
      <color indexed="81"/>
      <name val="Arial"/>
      <family val="2"/>
    </font>
    <font>
      <b/>
      <sz val="9"/>
      <color indexed="81"/>
      <name val="Arial"/>
      <family val="2"/>
    </font>
    <font>
      <u/>
      <sz val="10"/>
      <color theme="10"/>
      <name val="Calibri"/>
      <family val="2"/>
      <scheme val="minor"/>
    </font>
    <font>
      <sz val="9"/>
      <name val="Calibri"/>
      <family val="2"/>
    </font>
    <font>
      <b/>
      <u/>
      <sz val="9"/>
      <name val="Calibri"/>
      <family val="2"/>
    </font>
    <font>
      <i/>
      <sz val="9"/>
      <name val="Calibri"/>
      <family val="2"/>
    </font>
    <font>
      <b/>
      <i/>
      <sz val="9"/>
      <name val="Calibri"/>
      <family val="2"/>
    </font>
    <font>
      <b/>
      <sz val="9"/>
      <name val="Calibri"/>
      <family val="2"/>
    </font>
    <font>
      <b/>
      <u/>
      <sz val="11"/>
      <name val="Calibri"/>
      <family val="2"/>
    </font>
    <font>
      <sz val="9"/>
      <name val="Calibri"/>
      <family val="2"/>
      <scheme val="minor"/>
    </font>
    <font>
      <sz val="9"/>
      <name val="Arial"/>
      <family val="2"/>
    </font>
    <font>
      <u/>
      <sz val="9"/>
      <color theme="10"/>
      <name val="Calibri"/>
      <family val="2"/>
      <scheme val="minor"/>
    </font>
    <font>
      <u/>
      <sz val="9"/>
      <name val="Calibri"/>
      <family val="2"/>
    </font>
    <font>
      <u/>
      <sz val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auto="1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370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12">
    <xf numFmtId="0" fontId="0" fillId="0" borderId="0" xfId="0"/>
    <xf numFmtId="0" fontId="3" fillId="10" borderId="0" xfId="0" applyFont="1" applyFill="1" applyAlignment="1">
      <alignment horizontal="left"/>
    </xf>
    <xf numFmtId="0" fontId="2" fillId="10" borderId="0" xfId="0" applyFont="1" applyFill="1" applyBorder="1"/>
    <xf numFmtId="0" fontId="4" fillId="10" borderId="0" xfId="0" applyFont="1" applyFill="1" applyBorder="1"/>
    <xf numFmtId="0" fontId="2" fillId="10" borderId="0" xfId="0" applyFont="1" applyFill="1"/>
    <xf numFmtId="0" fontId="4" fillId="10" borderId="0" xfId="0" applyFont="1" applyFill="1"/>
    <xf numFmtId="0" fontId="9" fillId="10" borderId="0" xfId="348" quotePrefix="1" applyFont="1" applyFill="1" applyBorder="1"/>
    <xf numFmtId="0" fontId="2" fillId="10" borderId="0" xfId="0" quotePrefix="1" applyFont="1" applyFill="1" applyBorder="1" applyAlignment="1">
      <alignment horizontal="left"/>
    </xf>
    <xf numFmtId="166" fontId="10" fillId="0" borderId="0" xfId="0" applyNumberFormat="1" applyFont="1" applyAlignment="1">
      <alignment horizontal="right"/>
    </xf>
    <xf numFmtId="0" fontId="11" fillId="3" borderId="0" xfId="0" applyFont="1" applyFill="1" applyAlignment="1">
      <alignment horizontal="left"/>
    </xf>
    <xf numFmtId="0" fontId="10" fillId="0" borderId="0" xfId="0" applyFont="1"/>
    <xf numFmtId="0" fontId="12" fillId="0" borderId="0" xfId="0" applyFont="1"/>
    <xf numFmtId="0" fontId="12" fillId="0" borderId="0" xfId="0" applyFont="1" applyAlignment="1"/>
    <xf numFmtId="0" fontId="14" fillId="2" borderId="0" xfId="0" applyFont="1" applyFill="1" applyBorder="1" applyAlignment="1">
      <alignment horizontal="left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0" fontId="14" fillId="2" borderId="0" xfId="0" applyFont="1" applyFill="1" applyBorder="1" applyAlignment="1">
      <alignment horizontal="right"/>
    </xf>
    <xf numFmtId="2" fontId="14" fillId="2" borderId="0" xfId="0" applyNumberFormat="1" applyFont="1" applyFill="1" applyBorder="1" applyAlignment="1">
      <alignment horizontal="left"/>
    </xf>
    <xf numFmtId="2" fontId="14" fillId="2" borderId="0" xfId="0" applyNumberFormat="1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3" borderId="0" xfId="0" applyFont="1" applyFill="1" applyBorder="1" applyAlignment="1">
      <alignment horizontal="right"/>
    </xf>
    <xf numFmtId="167" fontId="10" fillId="0" borderId="0" xfId="0" applyNumberFormat="1" applyFont="1"/>
    <xf numFmtId="166" fontId="10" fillId="0" borderId="0" xfId="0" applyNumberFormat="1" applyFont="1"/>
    <xf numFmtId="0" fontId="14" fillId="0" borderId="0" xfId="0" applyFont="1" applyAlignment="1">
      <alignment horizontal="right"/>
    </xf>
    <xf numFmtId="0" fontId="10" fillId="0" borderId="0" xfId="0" quotePrefix="1" applyFont="1" applyAlignment="1">
      <alignment horizontal="right"/>
    </xf>
    <xf numFmtId="0" fontId="10" fillId="3" borderId="0" xfId="0" quotePrefix="1" applyFont="1" applyFill="1" applyBorder="1" applyAlignment="1">
      <alignment horizontal="right"/>
    </xf>
    <xf numFmtId="0" fontId="10" fillId="0" borderId="0" xfId="0" quotePrefix="1" applyFont="1"/>
    <xf numFmtId="0" fontId="12" fillId="0" borderId="0" xfId="0" quotePrefix="1" applyFont="1"/>
    <xf numFmtId="0" fontId="14" fillId="9" borderId="0" xfId="0" applyFont="1" applyFill="1" applyAlignment="1">
      <alignment horizontal="right"/>
    </xf>
    <xf numFmtId="166" fontId="10" fillId="9" borderId="0" xfId="0" applyNumberFormat="1" applyFont="1" applyFill="1"/>
    <xf numFmtId="0" fontId="10" fillId="9" borderId="0" xfId="0" applyFont="1" applyFill="1"/>
    <xf numFmtId="0" fontId="15" fillId="3" borderId="0" xfId="0" applyFont="1" applyFill="1" applyAlignment="1">
      <alignment horizontal="left"/>
    </xf>
    <xf numFmtId="0" fontId="11" fillId="2" borderId="0" xfId="0" applyFont="1" applyFill="1" applyBorder="1" applyAlignment="1">
      <alignment horizontal="left"/>
    </xf>
    <xf numFmtId="0" fontId="10" fillId="0" borderId="0" xfId="0" applyFont="1" applyBorder="1"/>
    <xf numFmtId="0" fontId="14" fillId="0" borderId="0" xfId="0" applyFont="1"/>
    <xf numFmtId="165" fontId="14" fillId="2" borderId="0" xfId="0" applyNumberFormat="1" applyFont="1" applyFill="1" applyBorder="1" applyAlignment="1">
      <alignment horizontal="left"/>
    </xf>
    <xf numFmtId="0" fontId="10" fillId="2" borderId="0" xfId="0" applyFont="1" applyFill="1" applyBorder="1" applyAlignment="1">
      <alignment horizontal="right"/>
    </xf>
    <xf numFmtId="164" fontId="12" fillId="2" borderId="0" xfId="1" applyNumberFormat="1" applyFont="1" applyFill="1" applyBorder="1" applyAlignment="1">
      <alignment horizontal="left"/>
    </xf>
    <xf numFmtId="0" fontId="10" fillId="2" borderId="0" xfId="0" quotePrefix="1" applyFont="1" applyFill="1" applyBorder="1" applyAlignment="1">
      <alignment horizontal="left"/>
    </xf>
    <xf numFmtId="165" fontId="14" fillId="3" borderId="0" xfId="0" applyNumberFormat="1" applyFont="1" applyFill="1" applyBorder="1" applyAlignment="1">
      <alignment horizontal="left"/>
    </xf>
    <xf numFmtId="166" fontId="10" fillId="3" borderId="0" xfId="0" applyNumberFormat="1" applyFont="1" applyFill="1" applyBorder="1" applyAlignment="1">
      <alignment horizontal="right"/>
    </xf>
    <xf numFmtId="166" fontId="10" fillId="5" borderId="0" xfId="0" applyNumberFormat="1" applyFont="1" applyFill="1" applyBorder="1" applyAlignment="1">
      <alignment horizontal="right"/>
    </xf>
    <xf numFmtId="164" fontId="10" fillId="3" borderId="0" xfId="1" applyNumberFormat="1" applyFont="1" applyFill="1" applyBorder="1" applyAlignment="1">
      <alignment horizontal="right"/>
    </xf>
    <xf numFmtId="0" fontId="12" fillId="2" borderId="0" xfId="0" quotePrefix="1" applyFont="1" applyFill="1" applyBorder="1" applyAlignment="1">
      <alignment horizontal="left"/>
    </xf>
    <xf numFmtId="0" fontId="10" fillId="3" borderId="0" xfId="0" applyFont="1" applyFill="1" applyBorder="1" applyAlignment="1">
      <alignment horizontal="center"/>
    </xf>
    <xf numFmtId="0" fontId="10" fillId="2" borderId="0" xfId="0" quotePrefix="1" applyFont="1" applyFill="1" applyBorder="1" applyAlignment="1">
      <alignment horizontal="right"/>
    </xf>
    <xf numFmtId="164" fontId="12" fillId="3" borderId="0" xfId="0" applyNumberFormat="1" applyFont="1" applyFill="1" applyBorder="1" applyAlignment="1">
      <alignment horizontal="right"/>
    </xf>
    <xf numFmtId="164" fontId="10" fillId="0" borderId="0" xfId="0" applyNumberFormat="1" applyFont="1" applyBorder="1" applyAlignment="1">
      <alignment horizontal="right"/>
    </xf>
    <xf numFmtId="164" fontId="10" fillId="3" borderId="0" xfId="0" applyNumberFormat="1" applyFont="1" applyFill="1" applyBorder="1" applyAlignment="1">
      <alignment horizontal="right"/>
    </xf>
    <xf numFmtId="166" fontId="10" fillId="3" borderId="0" xfId="1" applyNumberFormat="1" applyFont="1" applyFill="1" applyBorder="1" applyAlignment="1">
      <alignment horizontal="right"/>
    </xf>
    <xf numFmtId="166" fontId="10" fillId="4" borderId="0" xfId="0" applyNumberFormat="1" applyFont="1" applyFill="1" applyBorder="1" applyAlignment="1">
      <alignment horizontal="right"/>
    </xf>
    <xf numFmtId="164" fontId="12" fillId="3" borderId="0" xfId="0" applyNumberFormat="1" applyFont="1" applyFill="1" applyBorder="1" applyAlignment="1">
      <alignment horizontal="left"/>
    </xf>
    <xf numFmtId="0" fontId="14" fillId="3" borderId="0" xfId="0" applyFont="1" applyFill="1" applyBorder="1" applyAlignment="1">
      <alignment horizontal="left"/>
    </xf>
    <xf numFmtId="164" fontId="10" fillId="3" borderId="0" xfId="1" applyNumberFormat="1" applyFont="1" applyFill="1" applyBorder="1" applyAlignment="1">
      <alignment horizontal="left"/>
    </xf>
    <xf numFmtId="164" fontId="10" fillId="7" borderId="0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left"/>
    </xf>
    <xf numFmtId="167" fontId="10" fillId="0" borderId="0" xfId="0" applyNumberFormat="1" applyFont="1" applyBorder="1" applyAlignment="1">
      <alignment horizontal="right"/>
    </xf>
    <xf numFmtId="164" fontId="10" fillId="8" borderId="0" xfId="1" applyNumberFormat="1" applyFont="1" applyFill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15" fillId="2" borderId="0" xfId="0" applyFont="1" applyFill="1" applyBorder="1" applyAlignment="1">
      <alignment horizontal="left"/>
    </xf>
    <xf numFmtId="0" fontId="11" fillId="2" borderId="0" xfId="0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10" fillId="0" borderId="0" xfId="0" applyFont="1" applyAlignment="1">
      <alignment horizontal="center"/>
    </xf>
    <xf numFmtId="166" fontId="10" fillId="4" borderId="0" xfId="0" applyNumberFormat="1" applyFont="1" applyFill="1"/>
    <xf numFmtId="0" fontId="16" fillId="0" borderId="0" xfId="0" applyFont="1" applyAlignment="1">
      <alignment horizontal="right"/>
    </xf>
    <xf numFmtId="166" fontId="16" fillId="8" borderId="0" xfId="0" applyNumberFormat="1" applyFont="1" applyFill="1"/>
    <xf numFmtId="0" fontId="16" fillId="0" borderId="0" xfId="0" applyFont="1"/>
    <xf numFmtId="0" fontId="17" fillId="0" borderId="0" xfId="0" applyFont="1"/>
    <xf numFmtId="0" fontId="15" fillId="2" borderId="0" xfId="0" applyFont="1" applyFill="1" applyAlignment="1">
      <alignment horizontal="left"/>
    </xf>
    <xf numFmtId="0" fontId="15" fillId="2" borderId="0" xfId="0" quotePrefix="1" applyFont="1" applyFill="1" applyAlignment="1">
      <alignment horizontal="left"/>
    </xf>
    <xf numFmtId="0" fontId="11" fillId="2" borderId="0" xfId="0" quotePrefix="1" applyFont="1" applyFill="1" applyAlignment="1">
      <alignment horizontal="left"/>
    </xf>
    <xf numFmtId="0" fontId="13" fillId="2" borderId="0" xfId="0" quotePrefix="1" applyFont="1" applyFill="1" applyAlignment="1">
      <alignment horizontal="left"/>
    </xf>
    <xf numFmtId="0" fontId="10" fillId="2" borderId="0" xfId="0" quotePrefix="1" applyFont="1" applyFill="1" applyAlignment="1">
      <alignment horizontal="left"/>
    </xf>
    <xf numFmtId="0" fontId="10" fillId="0" borderId="0" xfId="0" quotePrefix="1" applyFont="1" applyBorder="1"/>
    <xf numFmtId="0" fontId="10" fillId="0" borderId="0" xfId="0" applyFont="1" applyFill="1" applyBorder="1"/>
    <xf numFmtId="0" fontId="18" fillId="0" borderId="0" xfId="348" quotePrefix="1" applyFont="1" applyBorder="1"/>
    <xf numFmtId="0" fontId="18" fillId="0" borderId="0" xfId="348" applyFont="1"/>
    <xf numFmtId="164" fontId="10" fillId="6" borderId="0" xfId="0" applyNumberFormat="1" applyFont="1" applyFill="1" applyBorder="1" applyAlignment="1">
      <alignment horizontal="right"/>
    </xf>
    <xf numFmtId="164" fontId="10" fillId="4" borderId="0" xfId="0" applyNumberFormat="1" applyFont="1" applyFill="1" applyAlignment="1">
      <alignment horizontal="right"/>
    </xf>
    <xf numFmtId="0" fontId="12" fillId="0" borderId="0" xfId="0" quotePrefix="1" applyFont="1" applyBorder="1"/>
    <xf numFmtId="164" fontId="10" fillId="6" borderId="0" xfId="0" applyNumberFormat="1" applyFont="1" applyFill="1" applyAlignment="1">
      <alignment horizontal="right"/>
    </xf>
    <xf numFmtId="164" fontId="10" fillId="0" borderId="0" xfId="0" applyNumberFormat="1" applyFont="1" applyAlignment="1">
      <alignment horizontal="right"/>
    </xf>
    <xf numFmtId="166" fontId="10" fillId="11" borderId="0" xfId="0" applyNumberFormat="1" applyFont="1" applyFill="1" applyAlignment="1">
      <alignment horizontal="right"/>
    </xf>
    <xf numFmtId="166" fontId="10" fillId="11" borderId="0" xfId="0" applyNumberFormat="1" applyFont="1" applyFill="1"/>
    <xf numFmtId="164" fontId="10" fillId="8" borderId="0" xfId="0" applyNumberFormat="1" applyFont="1" applyFill="1"/>
    <xf numFmtId="0" fontId="10" fillId="0" borderId="0" xfId="0" applyFont="1" applyFill="1" applyBorder="1" applyAlignment="1">
      <alignment horizontal="right"/>
    </xf>
    <xf numFmtId="166" fontId="10" fillId="0" borderId="0" xfId="0" applyNumberFormat="1" applyFont="1" applyFill="1" applyAlignment="1">
      <alignment horizontal="right"/>
    </xf>
    <xf numFmtId="0" fontId="10" fillId="0" borderId="0" xfId="0" applyFont="1" applyFill="1"/>
    <xf numFmtId="166" fontId="10" fillId="0" borderId="0" xfId="0" applyNumberFormat="1" applyFont="1" applyFill="1" applyAlignment="1">
      <alignment horizontal="left"/>
    </xf>
    <xf numFmtId="1" fontId="10" fillId="12" borderId="0" xfId="0" applyNumberFormat="1" applyFont="1" applyFill="1" applyAlignment="1">
      <alignment horizontal="left"/>
    </xf>
    <xf numFmtId="167" fontId="10" fillId="0" borderId="0" xfId="0" applyNumberFormat="1" applyFont="1" applyFill="1"/>
    <xf numFmtId="164" fontId="10" fillId="0" borderId="0" xfId="0" applyNumberFormat="1" applyFont="1"/>
    <xf numFmtId="164" fontId="12" fillId="8" borderId="0" xfId="0" applyNumberFormat="1" applyFont="1" applyFill="1"/>
    <xf numFmtId="164" fontId="10" fillId="4" borderId="0" xfId="0" applyNumberFormat="1" applyFont="1" applyFill="1"/>
    <xf numFmtId="0" fontId="14" fillId="0" borderId="0" xfId="0" applyFont="1" applyBorder="1"/>
    <xf numFmtId="164" fontId="10" fillId="0" borderId="0" xfId="0" applyNumberFormat="1" applyFont="1" applyBorder="1"/>
    <xf numFmtId="166" fontId="10" fillId="0" borderId="0" xfId="0" applyNumberFormat="1" applyFont="1" applyBorder="1"/>
    <xf numFmtId="164" fontId="10" fillId="0" borderId="0" xfId="1" applyNumberFormat="1" applyFont="1" applyFill="1" applyBorder="1" applyAlignment="1">
      <alignment horizontal="right"/>
    </xf>
    <xf numFmtId="2" fontId="10" fillId="0" borderId="0" xfId="0" applyNumberFormat="1" applyFont="1" applyBorder="1"/>
    <xf numFmtId="164" fontId="10" fillId="13" borderId="0" xfId="0" applyNumberFormat="1" applyFont="1" applyFill="1" applyBorder="1"/>
    <xf numFmtId="164" fontId="10" fillId="14" borderId="0" xfId="0" applyNumberFormat="1" applyFont="1" applyFill="1" applyBorder="1"/>
    <xf numFmtId="0" fontId="11" fillId="0" borderId="0" xfId="0" applyFont="1" applyBorder="1"/>
    <xf numFmtId="0" fontId="13" fillId="0" borderId="0" xfId="0" applyFont="1" applyBorder="1"/>
    <xf numFmtId="0" fontId="10" fillId="0" borderId="0" xfId="0" applyFont="1" applyBorder="1" applyAlignment="1">
      <alignment horizontal="center"/>
    </xf>
    <xf numFmtId="164" fontId="14" fillId="0" borderId="0" xfId="0" applyNumberFormat="1" applyFont="1" applyBorder="1"/>
    <xf numFmtId="0" fontId="10" fillId="0" borderId="0" xfId="0" quotePrefix="1" applyFont="1" applyBorder="1" applyAlignment="1">
      <alignment horizontal="left"/>
    </xf>
    <xf numFmtId="0" fontId="14" fillId="3" borderId="0" xfId="0" applyFont="1" applyFill="1" applyBorder="1" applyAlignment="1">
      <alignment horizontal="right"/>
    </xf>
    <xf numFmtId="0" fontId="14" fillId="2" borderId="0" xfId="0" quotePrefix="1" applyFont="1" applyFill="1" applyBorder="1" applyAlignment="1">
      <alignment horizontal="right"/>
    </xf>
    <xf numFmtId="0" fontId="12" fillId="0" borderId="0" xfId="0" applyFont="1" applyAlignment="1">
      <alignment horizontal="center"/>
    </xf>
  </cellXfs>
  <cellStyles count="3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/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6.0185185185185203E-2"/>
          <c:w val="0.83171544181977197"/>
          <c:h val="0.83635826771653499"/>
        </c:manualLayout>
      </c:layout>
      <c:lineChart>
        <c:grouping val="standard"/>
        <c:varyColors val="0"/>
        <c:ser>
          <c:idx val="0"/>
          <c:order val="0"/>
          <c:tx>
            <c:strRef>
              <c:f>Curve!$A$26</c:f>
              <c:strCache>
                <c:ptCount val="1"/>
                <c:pt idx="0">
                  <c:v>Bootstrapped Fwd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Curve!$B$28:$S$28</c:f>
              <c:numCache>
                <c:formatCode>0.0000%</c:formatCode>
                <c:ptCount val="18"/>
                <c:pt idx="0">
                  <c:v>5.0633943120710345E-3</c:v>
                </c:pt>
                <c:pt idx="1">
                  <c:v>5.552030966230026E-3</c:v>
                </c:pt>
                <c:pt idx="2">
                  <c:v>5.9273006562157171E-3</c:v>
                </c:pt>
                <c:pt idx="3">
                  <c:v>6.2440637273566413E-3</c:v>
                </c:pt>
                <c:pt idx="4">
                  <c:v>6.5281986501894984E-3</c:v>
                </c:pt>
                <c:pt idx="5">
                  <c:v>6.6713703969036864E-3</c:v>
                </c:pt>
                <c:pt idx="6">
                  <c:v>6.6712880629087312E-3</c:v>
                </c:pt>
                <c:pt idx="7">
                  <c:v>6.688536276623358E-3</c:v>
                </c:pt>
                <c:pt idx="8">
                  <c:v>6.8114428805001737E-3</c:v>
                </c:pt>
                <c:pt idx="9">
                  <c:v>7.0508149595567282E-3</c:v>
                </c:pt>
                <c:pt idx="10">
                  <c:v>7.3918020912631111E-3</c:v>
                </c:pt>
                <c:pt idx="11">
                  <c:v>7.7778421701302225E-3</c:v>
                </c:pt>
                <c:pt idx="12">
                  <c:v>8.1486169454765278E-3</c:v>
                </c:pt>
                <c:pt idx="13">
                  <c:v>8.4758783513290137E-3</c:v>
                </c:pt>
                <c:pt idx="14">
                  <c:v>8.7554348661165182E-3</c:v>
                </c:pt>
                <c:pt idx="15">
                  <c:v>8.9997215013823961E-3</c:v>
                </c:pt>
                <c:pt idx="16">
                  <c:v>9.2261467692893451E-3</c:v>
                </c:pt>
                <c:pt idx="17">
                  <c:v>9.452157025668706E-3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D-9945-9A98-76D8A49CB64B}"/>
            </c:ext>
          </c:extLst>
        </c:ser>
        <c:ser>
          <c:idx val="1"/>
          <c:order val="1"/>
          <c:tx>
            <c:strRef>
              <c:f>Curve!$A$37</c:f>
              <c:strCache>
                <c:ptCount val="1"/>
                <c:pt idx="0">
                  <c:v>BOE Fwd</c:v>
                </c:pt>
              </c:strCache>
            </c:strRef>
          </c:tx>
          <c:spPr>
            <a:ln w="19050" cmpd="sng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Curve!$B$37:$S$37</c:f>
              <c:numCache>
                <c:formatCode>0.0000%</c:formatCode>
                <c:ptCount val="18"/>
                <c:pt idx="0">
                  <c:v>5.3164145375214997E-3</c:v>
                </c:pt>
                <c:pt idx="1">
                  <c:v>5.7421339373991496E-3</c:v>
                </c:pt>
                <c:pt idx="2">
                  <c:v>6.0710613829621403E-3</c:v>
                </c:pt>
                <c:pt idx="3">
                  <c:v>6.3783454829178599E-3</c:v>
                </c:pt>
                <c:pt idx="4">
                  <c:v>6.6132828188437904E-3</c:v>
                </c:pt>
                <c:pt idx="5">
                  <c:v>6.6626894705942297E-3</c:v>
                </c:pt>
                <c:pt idx="6">
                  <c:v>6.6435318594059902E-3</c:v>
                </c:pt>
                <c:pt idx="7">
                  <c:v>6.7102049611327003E-3</c:v>
                </c:pt>
                <c:pt idx="8">
                  <c:v>6.8901365664095398E-3</c:v>
                </c:pt>
                <c:pt idx="9">
                  <c:v>7.1835909986948197E-3</c:v>
                </c:pt>
                <c:pt idx="10">
                  <c:v>7.5572227998350599E-3</c:v>
                </c:pt>
                <c:pt idx="11">
                  <c:v>7.9402079822609994E-3</c:v>
                </c:pt>
                <c:pt idx="12">
                  <c:v>8.2887208464519808E-3</c:v>
                </c:pt>
                <c:pt idx="13">
                  <c:v>8.5889398603041702E-3</c:v>
                </c:pt>
                <c:pt idx="14">
                  <c:v>8.8459009552536803E-3</c:v>
                </c:pt>
                <c:pt idx="15">
                  <c:v>9.0764267396317207E-3</c:v>
                </c:pt>
                <c:pt idx="16">
                  <c:v>9.2978549035108507E-3</c:v>
                </c:pt>
                <c:pt idx="17">
                  <c:v>9.5274428683296691E-3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D-9945-9A98-76D8A49CB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40698160"/>
        <c:axId val="-317419520"/>
      </c:lineChart>
      <c:catAx>
        <c:axId val="-340698160"/>
        <c:scaling>
          <c:orientation val="minMax"/>
        </c:scaling>
        <c:delete val="0"/>
        <c:axPos val="b"/>
        <c:majorTickMark val="out"/>
        <c:minorTickMark val="none"/>
        <c:tickLblPos val="nextTo"/>
        <c:crossAx val="-317419520"/>
        <c:crosses val="autoZero"/>
        <c:auto val="1"/>
        <c:lblAlgn val="ctr"/>
        <c:lblOffset val="100"/>
        <c:noMultiLvlLbl val="0"/>
      </c:catAx>
      <c:valAx>
        <c:axId val="-317419520"/>
        <c:scaling>
          <c:orientation val="minMax"/>
          <c:max val="0.01"/>
          <c:min val="0"/>
        </c:scaling>
        <c:delete val="0"/>
        <c:axPos val="l"/>
        <c:numFmt formatCode="0.0000%" sourceLinked="1"/>
        <c:majorTickMark val="out"/>
        <c:minorTickMark val="none"/>
        <c:tickLblPos val="nextTo"/>
        <c:crossAx val="-3406981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327752511144297"/>
          <c:y val="0.70258649672828899"/>
          <c:w val="0.28837711796714899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6.0185185185185203E-2"/>
          <c:w val="0.83171544181977197"/>
          <c:h val="0.83635826771653499"/>
        </c:manualLayout>
      </c:layout>
      <c:lineChart>
        <c:grouping val="standard"/>
        <c:varyColors val="0"/>
        <c:ser>
          <c:idx val="0"/>
          <c:order val="0"/>
          <c:tx>
            <c:strRef>
              <c:f>Curve!$A$71</c:f>
              <c:strCache>
                <c:ptCount val="1"/>
                <c:pt idx="0">
                  <c:v>Explicit fwd</c:v>
                </c:pt>
              </c:strCache>
            </c:strRef>
          </c:tx>
          <c:spPr>
            <a:ln w="19050" cmpd="sng">
              <a:solidFill>
                <a:srgbClr val="00B0F0"/>
              </a:solidFill>
              <a:prstDash val="sysDash"/>
            </a:ln>
          </c:spPr>
          <c:marker>
            <c:symbol val="none"/>
          </c:marker>
          <c:val>
            <c:numRef>
              <c:f>Curve!$B$71:$S$71</c:f>
              <c:numCache>
                <c:formatCode>0.0000%</c:formatCode>
                <c:ptCount val="18"/>
                <c:pt idx="0">
                  <c:v>5.0516814527048481E-3</c:v>
                </c:pt>
                <c:pt idx="1">
                  <c:v>5.5392307999673207E-3</c:v>
                </c:pt>
                <c:pt idx="2">
                  <c:v>5.9127149931477163E-3</c:v>
                </c:pt>
                <c:pt idx="3">
                  <c:v>6.2278805841033957E-3</c:v>
                </c:pt>
                <c:pt idx="4">
                  <c:v>6.5105122444535368E-3</c:v>
                </c:pt>
                <c:pt idx="5">
                  <c:v>6.6529013280733906E-3</c:v>
                </c:pt>
                <c:pt idx="6">
                  <c:v>6.6528194490178549E-3</c:v>
                </c:pt>
                <c:pt idx="7">
                  <c:v>6.6699722358087854E-3</c:v>
                </c:pt>
                <c:pt idx="8">
                  <c:v>6.7921917610478388E-3</c:v>
                </c:pt>
                <c:pt idx="9">
                  <c:v>7.0301900087175184E-3</c:v>
                </c:pt>
                <c:pt idx="10">
                  <c:v>7.3691387172472034E-3</c:v>
                </c:pt>
                <c:pt idx="11">
                  <c:v>7.7527556823371313E-3</c:v>
                </c:pt>
                <c:pt idx="12">
                  <c:v>8.1210878972681755E-3</c:v>
                </c:pt>
                <c:pt idx="13">
                  <c:v>8.4460996226862761E-3</c:v>
                </c:pt>
                <c:pt idx="14">
                  <c:v>8.7236647978050641E-3</c:v>
                </c:pt>
                <c:pt idx="15">
                  <c:v>8.9661588562437444E-3</c:v>
                </c:pt>
                <c:pt idx="16">
                  <c:v>9.190878931618407E-3</c:v>
                </c:pt>
                <c:pt idx="17">
                  <c:v>9.4151452291670878E-3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C4-BD41-8A09-DC2AAFAB1DAF}"/>
            </c:ext>
          </c:extLst>
        </c:ser>
        <c:ser>
          <c:idx val="1"/>
          <c:order val="1"/>
          <c:tx>
            <c:strRef>
              <c:f>Curve!$A$67</c:f>
              <c:strCache>
                <c:ptCount val="1"/>
                <c:pt idx="0">
                  <c:v>Bootstrapped fwd</c:v>
                </c:pt>
              </c:strCache>
            </c:strRef>
          </c:tx>
          <c:spPr>
            <a:ln w="19050"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Curve!$B$67:$S$67</c:f>
              <c:numCache>
                <c:formatCode>0.0000%</c:formatCode>
                <c:ptCount val="18"/>
                <c:pt idx="0">
                  <c:v>5.0633943120710345E-3</c:v>
                </c:pt>
                <c:pt idx="1">
                  <c:v>5.552030966230026E-3</c:v>
                </c:pt>
                <c:pt idx="2">
                  <c:v>5.9273006562157171E-3</c:v>
                </c:pt>
                <c:pt idx="3">
                  <c:v>6.2440637273566413E-3</c:v>
                </c:pt>
                <c:pt idx="4">
                  <c:v>6.5281986501894984E-3</c:v>
                </c:pt>
                <c:pt idx="5">
                  <c:v>6.6713703969036864E-3</c:v>
                </c:pt>
                <c:pt idx="6">
                  <c:v>6.6712880629087312E-3</c:v>
                </c:pt>
                <c:pt idx="7">
                  <c:v>6.688536276623358E-3</c:v>
                </c:pt>
                <c:pt idx="8">
                  <c:v>6.8114428805001737E-3</c:v>
                </c:pt>
                <c:pt idx="9">
                  <c:v>7.0508149595567282E-3</c:v>
                </c:pt>
                <c:pt idx="10">
                  <c:v>7.3918020912631111E-3</c:v>
                </c:pt>
                <c:pt idx="11">
                  <c:v>7.7778421701302225E-3</c:v>
                </c:pt>
                <c:pt idx="12">
                  <c:v>8.1486169454765278E-3</c:v>
                </c:pt>
                <c:pt idx="13">
                  <c:v>8.4758783513290137E-3</c:v>
                </c:pt>
                <c:pt idx="14">
                  <c:v>8.7554348661165182E-3</c:v>
                </c:pt>
                <c:pt idx="15">
                  <c:v>8.9997215013823961E-3</c:v>
                </c:pt>
                <c:pt idx="16">
                  <c:v>9.2261467692893451E-3</c:v>
                </c:pt>
                <c:pt idx="17">
                  <c:v>9.452157025668706E-3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C4-BD41-8A09-DC2AAFAB1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16974560"/>
        <c:axId val="-316972240"/>
      </c:lineChart>
      <c:catAx>
        <c:axId val="-316974560"/>
        <c:scaling>
          <c:orientation val="minMax"/>
        </c:scaling>
        <c:delete val="0"/>
        <c:axPos val="b"/>
        <c:majorTickMark val="out"/>
        <c:minorTickMark val="none"/>
        <c:tickLblPos val="nextTo"/>
        <c:crossAx val="-316972240"/>
        <c:crosses val="autoZero"/>
        <c:auto val="1"/>
        <c:lblAlgn val="ctr"/>
        <c:lblOffset val="100"/>
        <c:noMultiLvlLbl val="0"/>
      </c:catAx>
      <c:valAx>
        <c:axId val="-316972240"/>
        <c:scaling>
          <c:orientation val="minMax"/>
        </c:scaling>
        <c:delete val="0"/>
        <c:axPos val="l"/>
        <c:numFmt formatCode="0.0000%" sourceLinked="1"/>
        <c:majorTickMark val="out"/>
        <c:minorTickMark val="none"/>
        <c:tickLblPos val="nextTo"/>
        <c:crossAx val="-3169745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183867262029305"/>
          <c:y val="0.67288353222040798"/>
          <c:w val="0.263701932384243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6.0185185185185203E-2"/>
          <c:w val="0.83171544181977197"/>
          <c:h val="0.83635826771653499"/>
        </c:manualLayout>
      </c:layout>
      <c:lineChart>
        <c:grouping val="standard"/>
        <c:varyColors val="0"/>
        <c:ser>
          <c:idx val="0"/>
          <c:order val="0"/>
          <c:tx>
            <c:strRef>
              <c:f>Curve!$A$26</c:f>
              <c:strCache>
                <c:ptCount val="1"/>
                <c:pt idx="0">
                  <c:v>Bootstrapped Fwd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Curve!$B$28:$S$28</c:f>
              <c:numCache>
                <c:formatCode>0.0000%</c:formatCode>
                <c:ptCount val="18"/>
                <c:pt idx="0">
                  <c:v>5.0633943120710345E-3</c:v>
                </c:pt>
                <c:pt idx="1">
                  <c:v>5.552030966230026E-3</c:v>
                </c:pt>
                <c:pt idx="2">
                  <c:v>5.9273006562157171E-3</c:v>
                </c:pt>
                <c:pt idx="3">
                  <c:v>6.2440637273566413E-3</c:v>
                </c:pt>
                <c:pt idx="4">
                  <c:v>6.5281986501894984E-3</c:v>
                </c:pt>
                <c:pt idx="5">
                  <c:v>6.6713703969036864E-3</c:v>
                </c:pt>
                <c:pt idx="6">
                  <c:v>6.6712880629087312E-3</c:v>
                </c:pt>
                <c:pt idx="7">
                  <c:v>6.688536276623358E-3</c:v>
                </c:pt>
                <c:pt idx="8">
                  <c:v>6.8114428805001737E-3</c:v>
                </c:pt>
                <c:pt idx="9">
                  <c:v>7.0508149595567282E-3</c:v>
                </c:pt>
                <c:pt idx="10">
                  <c:v>7.3918020912631111E-3</c:v>
                </c:pt>
                <c:pt idx="11">
                  <c:v>7.7778421701302225E-3</c:v>
                </c:pt>
                <c:pt idx="12">
                  <c:v>8.1486169454765278E-3</c:v>
                </c:pt>
                <c:pt idx="13">
                  <c:v>8.4758783513290137E-3</c:v>
                </c:pt>
                <c:pt idx="14">
                  <c:v>8.7554348661165182E-3</c:v>
                </c:pt>
                <c:pt idx="15">
                  <c:v>8.9997215013823961E-3</c:v>
                </c:pt>
                <c:pt idx="16">
                  <c:v>9.2261467692893451E-3</c:v>
                </c:pt>
                <c:pt idx="17">
                  <c:v>9.452157025668706E-3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02-5D4B-A782-B9983A5D3019}"/>
            </c:ext>
          </c:extLst>
        </c:ser>
        <c:ser>
          <c:idx val="1"/>
          <c:order val="1"/>
          <c:tx>
            <c:strRef>
              <c:f>Curve!$A$22</c:f>
              <c:strCache>
                <c:ptCount val="1"/>
                <c:pt idx="0">
                  <c:v>Spot, %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Curve!$B$22:$S$22</c:f>
              <c:numCache>
                <c:formatCode>0.0000%</c:formatCode>
                <c:ptCount val="18"/>
                <c:pt idx="0">
                  <c:v>5.05168145270394E-3</c:v>
                </c:pt>
                <c:pt idx="1">
                  <c:v>5.2948146301570204E-3</c:v>
                </c:pt>
                <c:pt idx="2">
                  <c:v>5.5002925020481101E-3</c:v>
                </c:pt>
                <c:pt idx="3">
                  <c:v>5.6817815208527701E-3</c:v>
                </c:pt>
                <c:pt idx="4">
                  <c:v>5.8471700134028999E-3</c:v>
                </c:pt>
                <c:pt idx="5">
                  <c:v>5.9811475728680204E-3</c:v>
                </c:pt>
                <c:pt idx="6">
                  <c:v>6.0768350550297499E-3</c:v>
                </c:pt>
                <c:pt idx="7">
                  <c:v>6.15074398491038E-3</c:v>
                </c:pt>
                <c:pt idx="8">
                  <c:v>6.2218007756872397E-3</c:v>
                </c:pt>
                <c:pt idx="9">
                  <c:v>6.3024314110683996E-3</c:v>
                </c:pt>
                <c:pt idx="10">
                  <c:v>6.3991952895641599E-3</c:v>
                </c:pt>
                <c:pt idx="11">
                  <c:v>6.5117775737688604E-3</c:v>
                </c:pt>
                <c:pt idx="12">
                  <c:v>6.6353517546286897E-3</c:v>
                </c:pt>
                <c:pt idx="13">
                  <c:v>6.7644696505689298E-3</c:v>
                </c:pt>
                <c:pt idx="14">
                  <c:v>6.8948614547005996E-3</c:v>
                </c:pt>
                <c:pt idx="15">
                  <c:v>7.0240978590340401E-3</c:v>
                </c:pt>
                <c:pt idx="16">
                  <c:v>7.1513378473988401E-3</c:v>
                </c:pt>
                <c:pt idx="17">
                  <c:v>7.2768886753282001E-3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02-5D4B-A782-B9983A5D3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16365776"/>
        <c:axId val="-338097424"/>
      </c:lineChart>
      <c:catAx>
        <c:axId val="-316365776"/>
        <c:scaling>
          <c:orientation val="minMax"/>
        </c:scaling>
        <c:delete val="0"/>
        <c:axPos val="b"/>
        <c:majorTickMark val="out"/>
        <c:minorTickMark val="none"/>
        <c:tickLblPos val="nextTo"/>
        <c:crossAx val="-338097424"/>
        <c:crosses val="autoZero"/>
        <c:auto val="1"/>
        <c:lblAlgn val="ctr"/>
        <c:lblOffset val="100"/>
        <c:noMultiLvlLbl val="0"/>
      </c:catAx>
      <c:valAx>
        <c:axId val="-338097424"/>
        <c:scaling>
          <c:orientation val="minMax"/>
        </c:scaling>
        <c:delete val="0"/>
        <c:axPos val="l"/>
        <c:numFmt formatCode="0.0000%" sourceLinked="1"/>
        <c:majorTickMark val="out"/>
        <c:minorTickMark val="none"/>
        <c:tickLblPos val="nextTo"/>
        <c:crossAx val="-316365776"/>
        <c:crosses val="autoZero"/>
        <c:crossBetween val="between"/>
        <c:majorUnit val="2E-3"/>
      </c:valAx>
    </c:plotArea>
    <c:legend>
      <c:legendPos val="r"/>
      <c:layout>
        <c:manualLayout>
          <c:xMode val="edge"/>
          <c:yMode val="edge"/>
          <c:x val="0.63327752511144297"/>
          <c:y val="0.70258649672828899"/>
          <c:w val="0.28837711796714899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Ad-hoc LOIS</a:t>
            </a:r>
            <a:r>
              <a:rPr lang="en-US" b="1" baseline="0"/>
              <a:t> Tenor Basis "Curve"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ash"/>
            <c:size val="20"/>
            <c:spPr>
              <a:solidFill>
                <a:schemeClr val="tx2"/>
              </a:solidFill>
              <a:ln w="6350">
                <a:solidFill>
                  <a:schemeClr val="tx2"/>
                </a:solidFill>
              </a:ln>
              <a:effectLst/>
            </c:spPr>
          </c:marker>
          <c:xVal>
            <c:numRef>
              <c:f>'LIBOR-OIS'!$C$50:$L$50</c:f>
              <c:numCache>
                <c:formatCode>0.0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'LIBOR-OIS'!$C$53:$L$53</c:f>
              <c:numCache>
                <c:formatCode>0.0000%</c:formatCode>
                <c:ptCount val="10"/>
                <c:pt idx="0">
                  <c:v>2.16787208710269E-3</c:v>
                </c:pt>
                <c:pt idx="1">
                  <c:v>2.7826663798242897E-3</c:v>
                </c:pt>
                <c:pt idx="2">
                  <c:v>2.9122029930308503E-3</c:v>
                </c:pt>
                <c:pt idx="3">
                  <c:v>3.2266009077676298E-3</c:v>
                </c:pt>
                <c:pt idx="4">
                  <c:v>3.7844441620112183E-3</c:v>
                </c:pt>
                <c:pt idx="5">
                  <c:v>4.0322788739407985E-3</c:v>
                </c:pt>
                <c:pt idx="6">
                  <c:v>4.0879145941678015E-3</c:v>
                </c:pt>
                <c:pt idx="7">
                  <c:v>4.0794566055138998E-3</c:v>
                </c:pt>
                <c:pt idx="8">
                  <c:v>4.1096392612064974E-3</c:v>
                </c:pt>
                <c:pt idx="9">
                  <c:v>4.1761935526183E-3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01-2D42-8483-D619D1601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490544"/>
        <c:axId val="1275233200"/>
      </c:scatterChart>
      <c:valAx>
        <c:axId val="1220490544"/>
        <c:scaling>
          <c:orientation val="minMax"/>
          <c:max val="5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233200"/>
        <c:crosses val="autoZero"/>
        <c:crossBetween val="midCat"/>
        <c:majorUnit val="0.5"/>
      </c:valAx>
      <c:valAx>
        <c:axId val="1275233200"/>
        <c:scaling>
          <c:orientation val="minMax"/>
          <c:min val="1.5000000000000005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90544"/>
        <c:crosses val="autoZero"/>
        <c:crossBetween val="midCat"/>
        <c:majorUnit val="1.0000000000000002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523847514655398E-2"/>
          <c:y val="4.8749995201772103E-2"/>
          <c:w val="0.873166429636824"/>
          <c:h val="0.86745020989663302"/>
        </c:manualLayout>
      </c:layout>
      <c:lineChart>
        <c:grouping val="standard"/>
        <c:varyColors val="0"/>
        <c:ser>
          <c:idx val="0"/>
          <c:order val="0"/>
          <c:tx>
            <c:strRef>
              <c:f>Interpolation!$A$12</c:f>
              <c:strCache>
                <c:ptCount val="1"/>
                <c:pt idx="0">
                  <c:v>Linear on spot rates</c:v>
                </c:pt>
              </c:strCache>
            </c:strRef>
          </c:tx>
          <c:spPr>
            <a:ln w="19050" cmpd="sng">
              <a:solidFill>
                <a:srgbClr val="FF0000"/>
              </a:solidFill>
              <a:prstDash val="lgDash"/>
            </a:ln>
          </c:spPr>
          <c:marker>
            <c:symbol val="none"/>
          </c:marker>
          <c:val>
            <c:numRef>
              <c:f>Interpolation!$B$12:$S$12</c:f>
              <c:numCache>
                <c:formatCode>0.0000%</c:formatCode>
                <c:ptCount val="18"/>
                <c:pt idx="0">
                  <c:v>5.05168145270394E-3</c:v>
                </c:pt>
                <c:pt idx="1">
                  <c:v>5.2375746821890917E-3</c:v>
                </c:pt>
                <c:pt idx="2">
                  <c:v>5.4234679116742443E-3</c:v>
                </c:pt>
                <c:pt idx="3">
                  <c:v>5.6093611411593969E-3</c:v>
                </c:pt>
                <c:pt idx="4">
                  <c:v>5.7952543706445486E-3</c:v>
                </c:pt>
                <c:pt idx="5">
                  <c:v>5.9811476001297003E-3</c:v>
                </c:pt>
                <c:pt idx="6">
                  <c:v>6.0695859290695597E-3</c:v>
                </c:pt>
                <c:pt idx="7">
                  <c:v>6.1580242580094209E-3</c:v>
                </c:pt>
                <c:pt idx="8">
                  <c:v>6.2464625869492803E-3</c:v>
                </c:pt>
                <c:pt idx="9">
                  <c:v>6.3349009158891407E-3</c:v>
                </c:pt>
                <c:pt idx="10">
                  <c:v>6.423339244829001E-3</c:v>
                </c:pt>
                <c:pt idx="11">
                  <c:v>6.5117775737688604E-3</c:v>
                </c:pt>
                <c:pt idx="12">
                  <c:v>6.6392960906954158E-3</c:v>
                </c:pt>
                <c:pt idx="13">
                  <c:v>6.7668146076219739E-3</c:v>
                </c:pt>
                <c:pt idx="14">
                  <c:v>6.8943331245485302E-3</c:v>
                </c:pt>
                <c:pt idx="15">
                  <c:v>7.0218516414750874E-3</c:v>
                </c:pt>
                <c:pt idx="16">
                  <c:v>7.1493701584016429E-3</c:v>
                </c:pt>
                <c:pt idx="17">
                  <c:v>7.2768886753282001E-3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5D-624B-9EC7-0295E950E521}"/>
            </c:ext>
          </c:extLst>
        </c:ser>
        <c:ser>
          <c:idx val="1"/>
          <c:order val="1"/>
          <c:tx>
            <c:strRef>
              <c:f>Interpolation!$A$22</c:f>
              <c:strCache>
                <c:ptCount val="1"/>
                <c:pt idx="0">
                  <c:v>Market spot rates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Interpolation!$B$22:$S$22</c:f>
              <c:numCache>
                <c:formatCode>0.0000</c:formatCode>
                <c:ptCount val="18"/>
                <c:pt idx="0">
                  <c:v>5.05168145270394E-3</c:v>
                </c:pt>
                <c:pt idx="1">
                  <c:v>5.2948146301570204E-3</c:v>
                </c:pt>
                <c:pt idx="2">
                  <c:v>5.5002925020481101E-3</c:v>
                </c:pt>
                <c:pt idx="3">
                  <c:v>5.6817815208527701E-3</c:v>
                </c:pt>
                <c:pt idx="4">
                  <c:v>5.8471700134028999E-3</c:v>
                </c:pt>
                <c:pt idx="5">
                  <c:v>5.9811475728680204E-3</c:v>
                </c:pt>
                <c:pt idx="6">
                  <c:v>6.0768350550297499E-3</c:v>
                </c:pt>
                <c:pt idx="7">
                  <c:v>6.15074398491038E-3</c:v>
                </c:pt>
                <c:pt idx="8">
                  <c:v>6.2218007756872397E-3</c:v>
                </c:pt>
                <c:pt idx="9">
                  <c:v>6.3024314110683996E-3</c:v>
                </c:pt>
                <c:pt idx="10">
                  <c:v>6.3991952895641599E-3</c:v>
                </c:pt>
                <c:pt idx="11">
                  <c:v>6.5117775737688604E-3</c:v>
                </c:pt>
                <c:pt idx="12">
                  <c:v>6.6353517546286897E-3</c:v>
                </c:pt>
                <c:pt idx="13">
                  <c:v>6.7644696505689298E-3</c:v>
                </c:pt>
                <c:pt idx="14">
                  <c:v>6.8948614547005996E-3</c:v>
                </c:pt>
                <c:pt idx="15">
                  <c:v>7.0240978590340401E-3</c:v>
                </c:pt>
                <c:pt idx="16">
                  <c:v>7.1513378473988401E-3</c:v>
                </c:pt>
                <c:pt idx="17">
                  <c:v>7.2768886753282001E-3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5D-624B-9EC7-0295E950E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16923856"/>
        <c:axId val="-316921536"/>
      </c:lineChart>
      <c:catAx>
        <c:axId val="-316923856"/>
        <c:scaling>
          <c:orientation val="minMax"/>
        </c:scaling>
        <c:delete val="0"/>
        <c:axPos val="b"/>
        <c:majorTickMark val="none"/>
        <c:minorTickMark val="none"/>
        <c:tickLblPos val="nextTo"/>
        <c:crossAx val="-316921536"/>
        <c:crosses val="autoZero"/>
        <c:auto val="1"/>
        <c:lblAlgn val="ctr"/>
        <c:lblOffset val="100"/>
        <c:noMultiLvlLbl val="0"/>
      </c:catAx>
      <c:valAx>
        <c:axId val="-316921536"/>
        <c:scaling>
          <c:orientation val="minMax"/>
          <c:max val="8.0000000000000002E-3"/>
        </c:scaling>
        <c:delete val="0"/>
        <c:axPos val="l"/>
        <c:numFmt formatCode="0.0000%" sourceLinked="1"/>
        <c:majorTickMark val="none"/>
        <c:minorTickMark val="none"/>
        <c:tickLblPos val="nextTo"/>
        <c:crossAx val="-3169238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2310038320765404"/>
          <c:y val="0.72468890505030503"/>
          <c:w val="0.29608145690566001"/>
          <c:h val="0.150621835568717"/>
        </c:manualLayout>
      </c:layout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6.0185185185185203E-2"/>
          <c:w val="0.83171544181977197"/>
          <c:h val="0.83635826771653499"/>
        </c:manualLayout>
      </c:layout>
      <c:lineChart>
        <c:grouping val="standard"/>
        <c:varyColors val="0"/>
        <c:ser>
          <c:idx val="0"/>
          <c:order val="0"/>
          <c:tx>
            <c:strRef>
              <c:f>Interpolation!$A$13</c:f>
              <c:strCache>
                <c:ptCount val="1"/>
                <c:pt idx="0">
                  <c:v>Fwd (non-continous)</c:v>
                </c:pt>
              </c:strCache>
            </c:strRef>
          </c:tx>
          <c:spPr>
            <a:ln w="19050" cmpd="sng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Interpolation!$B$13:$S$13</c:f>
              <c:numCache>
                <c:formatCode>0.0000%</c:formatCode>
                <c:ptCount val="18"/>
                <c:pt idx="1">
                  <c:v>5.6093611411593969E-3</c:v>
                </c:pt>
                <c:pt idx="2">
                  <c:v>5.9811476001297012E-3</c:v>
                </c:pt>
                <c:pt idx="3">
                  <c:v>6.3529340591000055E-3</c:v>
                </c:pt>
                <c:pt idx="4">
                  <c:v>6.7247205180703097E-3</c:v>
                </c:pt>
                <c:pt idx="6">
                  <c:v>6.688654231648581E-3</c:v>
                </c:pt>
                <c:pt idx="7">
                  <c:v>6.8655308895283007E-3</c:v>
                </c:pt>
                <c:pt idx="8">
                  <c:v>7.0424075474080205E-3</c:v>
                </c:pt>
                <c:pt idx="9">
                  <c:v>7.2192842052877394E-3</c:v>
                </c:pt>
                <c:pt idx="10">
                  <c:v>7.3961608631674617E-3</c:v>
                </c:pt>
                <c:pt idx="12">
                  <c:v>8.2970368107406524E-3</c:v>
                </c:pt>
                <c:pt idx="13">
                  <c:v>8.5520738445937685E-3</c:v>
                </c:pt>
                <c:pt idx="14">
                  <c:v>8.8071108784468811E-3</c:v>
                </c:pt>
                <c:pt idx="15">
                  <c:v>9.0621479122999921E-3</c:v>
                </c:pt>
                <c:pt idx="16">
                  <c:v>9.317184946153103E-3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16-314F-9B76-B9E7C518FDC5}"/>
            </c:ext>
          </c:extLst>
        </c:ser>
        <c:ser>
          <c:idx val="1"/>
          <c:order val="1"/>
          <c:tx>
            <c:strRef>
              <c:f>Interpolation!$A$23</c:f>
              <c:strCache>
                <c:ptCount val="1"/>
                <c:pt idx="0">
                  <c:v>Fwd rates (smoothed)</c:v>
                </c:pt>
              </c:strCache>
            </c:strRef>
          </c:tx>
          <c:spPr>
            <a:ln w="19050" cmpd="sng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Interpolation!$B$23:$S$23</c:f>
              <c:numCache>
                <c:formatCode>0.0000</c:formatCode>
                <c:ptCount val="18"/>
                <c:pt idx="0">
                  <c:v>5.3164145375214997E-3</c:v>
                </c:pt>
                <c:pt idx="1">
                  <c:v>5.7421339373991496E-3</c:v>
                </c:pt>
                <c:pt idx="2">
                  <c:v>6.0710613829621403E-3</c:v>
                </c:pt>
                <c:pt idx="3">
                  <c:v>6.3783454829178599E-3</c:v>
                </c:pt>
                <c:pt idx="4">
                  <c:v>6.6132828188437904E-3</c:v>
                </c:pt>
                <c:pt idx="5">
                  <c:v>6.6626894705942297E-3</c:v>
                </c:pt>
                <c:pt idx="6">
                  <c:v>6.6435318594059902E-3</c:v>
                </c:pt>
                <c:pt idx="7">
                  <c:v>6.7102049611327003E-3</c:v>
                </c:pt>
                <c:pt idx="8">
                  <c:v>6.8901365664095398E-3</c:v>
                </c:pt>
                <c:pt idx="9">
                  <c:v>7.1835909986948197E-3</c:v>
                </c:pt>
                <c:pt idx="10">
                  <c:v>7.5572227998350599E-3</c:v>
                </c:pt>
                <c:pt idx="11">
                  <c:v>7.9402079822609994E-3</c:v>
                </c:pt>
                <c:pt idx="12">
                  <c:v>8.2887208464519808E-3</c:v>
                </c:pt>
                <c:pt idx="13">
                  <c:v>8.5889398603041702E-3</c:v>
                </c:pt>
                <c:pt idx="14">
                  <c:v>8.8459009552536803E-3</c:v>
                </c:pt>
                <c:pt idx="15">
                  <c:v>9.0764267396317207E-3</c:v>
                </c:pt>
                <c:pt idx="16">
                  <c:v>9.2978549035108507E-3</c:v>
                </c:pt>
                <c:pt idx="17">
                  <c:v>9.5274428683296691E-3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16-314F-9B76-B9E7C518F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16208240"/>
        <c:axId val="-316205920"/>
      </c:lineChart>
      <c:catAx>
        <c:axId val="-316208240"/>
        <c:scaling>
          <c:orientation val="minMax"/>
        </c:scaling>
        <c:delete val="0"/>
        <c:axPos val="b"/>
        <c:majorTickMark val="out"/>
        <c:minorTickMark val="none"/>
        <c:tickLblPos val="nextTo"/>
        <c:crossAx val="-316205920"/>
        <c:crosses val="autoZero"/>
        <c:auto val="1"/>
        <c:lblAlgn val="ctr"/>
        <c:lblOffset val="100"/>
        <c:noMultiLvlLbl val="0"/>
      </c:catAx>
      <c:valAx>
        <c:axId val="-316205920"/>
        <c:scaling>
          <c:orientation val="minMax"/>
        </c:scaling>
        <c:delete val="0"/>
        <c:axPos val="l"/>
        <c:numFmt formatCode="0.0000%" sourceLinked="1"/>
        <c:majorTickMark val="out"/>
        <c:minorTickMark val="none"/>
        <c:tickLblPos val="nextTo"/>
        <c:crossAx val="-31620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747789472303396"/>
          <c:y val="0.70258649672828899"/>
          <c:w val="0.30398746690839801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2.emf"/><Relationship Id="rId7" Type="http://schemas.openxmlformats.org/officeDocument/2006/relationships/chart" Target="../charts/chart3.xml"/><Relationship Id="rId2" Type="http://schemas.openxmlformats.org/officeDocument/2006/relationships/chart" Target="../charts/chart1.xml"/><Relationship Id="rId1" Type="http://schemas.openxmlformats.org/officeDocument/2006/relationships/image" Target="../media/image1.emf"/><Relationship Id="rId6" Type="http://schemas.openxmlformats.org/officeDocument/2006/relationships/image" Target="../media/image4.emf"/><Relationship Id="rId5" Type="http://schemas.openxmlformats.org/officeDocument/2006/relationships/image" Target="../media/image3.emf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chart" Target="../charts/chart4.xml"/><Relationship Id="rId2" Type="http://schemas.openxmlformats.org/officeDocument/2006/relationships/image" Target="../media/image2.emf"/><Relationship Id="rId1" Type="http://schemas.openxmlformats.org/officeDocument/2006/relationships/image" Target="../media/image6.emf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8467</xdr:colOff>
      <xdr:row>1</xdr:row>
      <xdr:rowOff>16933</xdr:rowOff>
    </xdr:from>
    <xdr:to>
      <xdr:col>8</xdr:col>
      <xdr:colOff>741353</xdr:colOff>
      <xdr:row>16</xdr:row>
      <xdr:rowOff>15913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8563" y="207433"/>
          <a:ext cx="4123918" cy="230696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38</xdr:row>
      <xdr:rowOff>0</xdr:rowOff>
    </xdr:from>
    <xdr:to>
      <xdr:col>6</xdr:col>
      <xdr:colOff>842596</xdr:colOff>
      <xdr:row>56</xdr:row>
      <xdr:rowOff>43962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143932</xdr:colOff>
      <xdr:row>31</xdr:row>
      <xdr:rowOff>136313</xdr:rowOff>
    </xdr:from>
    <xdr:to>
      <xdr:col>8</xdr:col>
      <xdr:colOff>715432</xdr:colOff>
      <xdr:row>34</xdr:row>
      <xdr:rowOff>34468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27052" y="4901353"/>
          <a:ext cx="1536700" cy="355355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1</xdr:col>
      <xdr:colOff>0</xdr:colOff>
      <xdr:row>81</xdr:row>
      <xdr:rowOff>25401</xdr:rowOff>
    </xdr:from>
    <xdr:to>
      <xdr:col>7</xdr:col>
      <xdr:colOff>315057</xdr:colOff>
      <xdr:row>100</xdr:row>
      <xdr:rowOff>131884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431801</xdr:colOff>
      <xdr:row>60</xdr:row>
      <xdr:rowOff>143933</xdr:rowOff>
    </xdr:from>
    <xdr:to>
      <xdr:col>8</xdr:col>
      <xdr:colOff>25402</xdr:colOff>
      <xdr:row>62</xdr:row>
      <xdr:rowOff>44287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54134" y="11370733"/>
          <a:ext cx="2489200" cy="24130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19</xdr:col>
      <xdr:colOff>829733</xdr:colOff>
      <xdr:row>66</xdr:row>
      <xdr:rowOff>33868</xdr:rowOff>
    </xdr:from>
    <xdr:to>
      <xdr:col>22</xdr:col>
      <xdr:colOff>42332</xdr:colOff>
      <xdr:row>72</xdr:row>
      <xdr:rowOff>18237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464866" y="12327468"/>
          <a:ext cx="1701800" cy="990600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7</xdr:col>
      <xdr:colOff>908538</xdr:colOff>
      <xdr:row>37</xdr:row>
      <xdr:rowOff>127000</xdr:rowOff>
    </xdr:from>
    <xdr:to>
      <xdr:col>13</xdr:col>
      <xdr:colOff>833119</xdr:colOff>
      <xdr:row>56</xdr:row>
      <xdr:rowOff>50800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213360</xdr:colOff>
      <xdr:row>11</xdr:row>
      <xdr:rowOff>121920</xdr:rowOff>
    </xdr:from>
    <xdr:to>
      <xdr:col>2</xdr:col>
      <xdr:colOff>71120</xdr:colOff>
      <xdr:row>14</xdr:row>
      <xdr:rowOff>71120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360" y="1828800"/>
          <a:ext cx="2184400" cy="406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374843</xdr:colOff>
      <xdr:row>28</xdr:row>
      <xdr:rowOff>44257</xdr:rowOff>
    </xdr:from>
    <xdr:to>
      <xdr:col>11</xdr:col>
      <xdr:colOff>732271</xdr:colOff>
      <xdr:row>31</xdr:row>
      <xdr:rowOff>5913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/>
        </a:blip>
        <a:stretch>
          <a:fillRect/>
        </a:stretch>
      </xdr:blipFill>
      <xdr:spPr>
        <a:xfrm>
          <a:off x="8017934" y="4443075"/>
          <a:ext cx="2019974" cy="411929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13</xdr:col>
      <xdr:colOff>136236</xdr:colOff>
      <xdr:row>29</xdr:row>
      <xdr:rowOff>102371</xdr:rowOff>
    </xdr:from>
    <xdr:to>
      <xdr:col>14</xdr:col>
      <xdr:colOff>757478</xdr:colOff>
      <xdr:row>32</xdr:row>
      <xdr:rowOff>17734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31054" y="4501189"/>
          <a:ext cx="1452515" cy="36563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4</xdr:col>
      <xdr:colOff>640773</xdr:colOff>
      <xdr:row>28</xdr:row>
      <xdr:rowOff>11545</xdr:rowOff>
    </xdr:from>
    <xdr:to>
      <xdr:col>9</xdr:col>
      <xdr:colOff>117764</xdr:colOff>
      <xdr:row>34</xdr:row>
      <xdr:rowOff>139699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88773" y="4566227"/>
          <a:ext cx="3113809" cy="106333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259774</xdr:colOff>
      <xdr:row>28</xdr:row>
      <xdr:rowOff>34635</xdr:rowOff>
    </xdr:from>
    <xdr:to>
      <xdr:col>4</xdr:col>
      <xdr:colOff>28421</xdr:colOff>
      <xdr:row>31</xdr:row>
      <xdr:rowOff>143162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9774" y="4589317"/>
          <a:ext cx="2753590" cy="57611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13</xdr:col>
      <xdr:colOff>0</xdr:colOff>
      <xdr:row>38</xdr:row>
      <xdr:rowOff>138545</xdr:rowOff>
    </xdr:from>
    <xdr:to>
      <xdr:col>15</xdr:col>
      <xdr:colOff>116608</xdr:colOff>
      <xdr:row>42</xdr:row>
      <xdr:rowOff>10374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94818" y="5588000"/>
          <a:ext cx="1779154" cy="472193"/>
        </a:xfrm>
        <a:prstGeom prst="rect">
          <a:avLst/>
        </a:prstGeom>
      </xdr:spPr>
    </xdr:pic>
    <xdr:clientData/>
  </xdr:twoCellAnchor>
  <xdr:twoCellAnchor editAs="oneCell">
    <xdr:from>
      <xdr:col>13</xdr:col>
      <xdr:colOff>9770</xdr:colOff>
      <xdr:row>62</xdr:row>
      <xdr:rowOff>78154</xdr:rowOff>
    </xdr:from>
    <xdr:to>
      <xdr:col>15</xdr:col>
      <xdr:colOff>111368</xdr:colOff>
      <xdr:row>63</xdr:row>
      <xdr:rowOff>132037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16308" y="9652000"/>
          <a:ext cx="1762368" cy="210191"/>
        </a:xfrm>
        <a:prstGeom prst="rect">
          <a:avLst/>
        </a:prstGeom>
      </xdr:spPr>
    </xdr:pic>
    <xdr:clientData/>
  </xdr:twoCellAnchor>
  <xdr:twoCellAnchor>
    <xdr:from>
      <xdr:col>0</xdr:col>
      <xdr:colOff>122115</xdr:colOff>
      <xdr:row>77</xdr:row>
      <xdr:rowOff>10746</xdr:rowOff>
    </xdr:from>
    <xdr:to>
      <xdr:col>5</xdr:col>
      <xdr:colOff>551961</xdr:colOff>
      <xdr:row>94</xdr:row>
      <xdr:rowOff>96715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28721CC-EC40-0947-945A-268E2ECDD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160867</xdr:colOff>
      <xdr:row>24</xdr:row>
      <xdr:rowOff>8465</xdr:rowOff>
    </xdr:from>
    <xdr:to>
      <xdr:col>5</xdr:col>
      <xdr:colOff>889000</xdr:colOff>
      <xdr:row>46</xdr:row>
      <xdr:rowOff>42332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8466</xdr:colOff>
      <xdr:row>23</xdr:row>
      <xdr:rowOff>143933</xdr:rowOff>
    </xdr:from>
    <xdr:to>
      <xdr:col>13</xdr:col>
      <xdr:colOff>448733</xdr:colOff>
      <xdr:row>46</xdr:row>
      <xdr:rowOff>59267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1092199</xdr:colOff>
      <xdr:row>26</xdr:row>
      <xdr:rowOff>50800</xdr:rowOff>
    </xdr:from>
    <xdr:to>
      <xdr:col>3</xdr:col>
      <xdr:colOff>3654</xdr:colOff>
      <xdr:row>29</xdr:row>
      <xdr:rowOff>36513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2199" y="4986867"/>
          <a:ext cx="1981200" cy="41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160866</xdr:colOff>
      <xdr:row>26</xdr:row>
      <xdr:rowOff>8466</xdr:rowOff>
    </xdr:from>
    <xdr:to>
      <xdr:col>10</xdr:col>
      <xdr:colOff>393700</xdr:colOff>
      <xdr:row>28</xdr:row>
      <xdr:rowOff>125941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16333" y="4944533"/>
          <a:ext cx="2044700" cy="406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ankofengland.co.uk/statistics/Pages/yieldcurve/archive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://www.bankofengland.co.uk/statistics/Pages/yieldcurve/archive.aspx" TargetMode="External"/><Relationship Id="rId1" Type="http://schemas.openxmlformats.org/officeDocument/2006/relationships/hyperlink" Target="http://www.bankofengland.co.uk/statistics/Documents/yieldcurve/ukois09_mdaily.x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B19"/>
  <sheetViews>
    <sheetView tabSelected="1" zoomScale="110" zoomScaleNormal="110" zoomScalePageLayoutView="110" workbookViewId="0">
      <selection activeCell="B2" sqref="B2"/>
    </sheetView>
  </sheetViews>
  <sheetFormatPr baseColWidth="10" defaultColWidth="10.83203125" defaultRowHeight="14" x14ac:dyDescent="0.2"/>
  <cols>
    <col min="1" max="1" width="10" style="2" customWidth="1"/>
    <col min="2" max="12" width="10.83203125" style="2"/>
    <col min="13" max="13" width="4.6640625" style="2" customWidth="1"/>
    <col min="14" max="16384" width="10.83203125" style="2"/>
  </cols>
  <sheetData>
    <row r="1" spans="1:2" ht="16" x14ac:dyDescent="0.2">
      <c r="A1" s="1"/>
    </row>
    <row r="2" spans="1:2" x14ac:dyDescent="0.2">
      <c r="B2" s="3" t="s">
        <v>63</v>
      </c>
    </row>
    <row r="3" spans="1:2" ht="16" x14ac:dyDescent="0.2">
      <c r="A3" s="1"/>
    </row>
    <row r="4" spans="1:2" x14ac:dyDescent="0.2">
      <c r="B4" s="4" t="s">
        <v>71</v>
      </c>
    </row>
    <row r="5" spans="1:2" x14ac:dyDescent="0.2">
      <c r="A5" s="5"/>
      <c r="B5" s="2" t="s">
        <v>65</v>
      </c>
    </row>
    <row r="6" spans="1:2" x14ac:dyDescent="0.2">
      <c r="A6" s="5"/>
      <c r="B6" s="2" t="s">
        <v>66</v>
      </c>
    </row>
    <row r="7" spans="1:2" x14ac:dyDescent="0.2">
      <c r="A7" s="5"/>
    </row>
    <row r="8" spans="1:2" x14ac:dyDescent="0.2">
      <c r="A8" s="5"/>
      <c r="B8" s="2" t="s">
        <v>64</v>
      </c>
    </row>
    <row r="9" spans="1:2" x14ac:dyDescent="0.2">
      <c r="A9" s="5"/>
      <c r="B9" s="6" t="s">
        <v>50</v>
      </c>
    </row>
    <row r="11" spans="1:2" x14ac:dyDescent="0.2">
      <c r="B11" s="2" t="s">
        <v>67</v>
      </c>
    </row>
    <row r="13" spans="1:2" x14ac:dyDescent="0.2">
      <c r="B13" s="2" t="s">
        <v>37</v>
      </c>
    </row>
    <row r="15" spans="1:2" x14ac:dyDescent="0.2">
      <c r="B15" s="2" t="s">
        <v>178</v>
      </c>
    </row>
    <row r="18" spans="1:1" x14ac:dyDescent="0.2">
      <c r="A18" s="7"/>
    </row>
    <row r="19" spans="1:1" x14ac:dyDescent="0.2">
      <c r="A19" s="7"/>
    </row>
  </sheetData>
  <hyperlinks>
    <hyperlink ref="B9" r:id="rId1" xr:uid="{00000000-0004-0000-0000-000000000000}"/>
  </hyperlinks>
  <pageMargins left="0.75" right="0.75" top="1" bottom="1" header="0.5" footer="0.5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81"/>
  <sheetViews>
    <sheetView topLeftCell="A61" zoomScale="110" zoomScaleNormal="110" zoomScalePageLayoutView="110" workbookViewId="0">
      <selection activeCell="C108" sqref="C108"/>
    </sheetView>
  </sheetViews>
  <sheetFormatPr baseColWidth="10" defaultColWidth="10.83203125" defaultRowHeight="12" x14ac:dyDescent="0.15"/>
  <cols>
    <col min="1" max="1" width="17.33203125" style="10" customWidth="1"/>
    <col min="2" max="2" width="13.1640625" style="10" customWidth="1"/>
    <col min="3" max="3" width="12.83203125" style="10" customWidth="1"/>
    <col min="4" max="4" width="13" style="10" customWidth="1"/>
    <col min="5" max="5" width="12.5" style="10" customWidth="1"/>
    <col min="6" max="19" width="12.6640625" style="10" bestFit="1" customWidth="1"/>
    <col min="20" max="16384" width="10.83203125" style="10"/>
  </cols>
  <sheetData>
    <row r="1" spans="1:1" ht="15" x14ac:dyDescent="0.2">
      <c r="A1" s="33" t="s">
        <v>14</v>
      </c>
    </row>
    <row r="3" spans="1:1" x14ac:dyDescent="0.15">
      <c r="A3" s="9" t="s">
        <v>8</v>
      </c>
    </row>
    <row r="4" spans="1:1" x14ac:dyDescent="0.15">
      <c r="A4" s="11" t="s">
        <v>9</v>
      </c>
    </row>
    <row r="6" spans="1:1" x14ac:dyDescent="0.15">
      <c r="A6" s="9" t="s">
        <v>13</v>
      </c>
    </row>
    <row r="7" spans="1:1" x14ac:dyDescent="0.15">
      <c r="A7" s="11" t="s">
        <v>12</v>
      </c>
    </row>
    <row r="9" spans="1:1" x14ac:dyDescent="0.15">
      <c r="A9" s="9" t="s">
        <v>10</v>
      </c>
    </row>
    <row r="10" spans="1:1" x14ac:dyDescent="0.15">
      <c r="A10" s="11" t="s">
        <v>31</v>
      </c>
    </row>
    <row r="17" spans="1:21" x14ac:dyDescent="0.15">
      <c r="E17" s="111" t="s">
        <v>86</v>
      </c>
      <c r="F17" s="111"/>
      <c r="G17" s="111"/>
      <c r="H17" s="111"/>
      <c r="I17" s="111"/>
      <c r="J17" s="12"/>
    </row>
    <row r="18" spans="1:21" ht="13" customHeight="1" x14ac:dyDescent="0.15">
      <c r="A18" s="13" t="s">
        <v>34</v>
      </c>
    </row>
    <row r="19" spans="1:21" x14ac:dyDescent="0.15">
      <c r="A19" s="10" t="s">
        <v>15</v>
      </c>
    </row>
    <row r="20" spans="1:21" s="15" customFormat="1" x14ac:dyDescent="0.15">
      <c r="A20" s="14" t="s">
        <v>16</v>
      </c>
      <c r="B20" s="15">
        <v>1</v>
      </c>
      <c r="C20" s="15">
        <v>2</v>
      </c>
      <c r="D20" s="15">
        <v>3</v>
      </c>
      <c r="E20" s="15">
        <v>4</v>
      </c>
      <c r="F20" s="15">
        <v>5</v>
      </c>
      <c r="G20" s="15">
        <v>6</v>
      </c>
      <c r="H20" s="15">
        <v>7</v>
      </c>
      <c r="I20" s="15">
        <v>8</v>
      </c>
      <c r="J20" s="15">
        <v>9</v>
      </c>
      <c r="K20" s="15">
        <v>10</v>
      </c>
      <c r="L20" s="15">
        <v>11</v>
      </c>
      <c r="M20" s="15">
        <v>12</v>
      </c>
      <c r="N20" s="15">
        <v>13</v>
      </c>
      <c r="O20" s="15">
        <v>14</v>
      </c>
      <c r="P20" s="15">
        <v>15</v>
      </c>
      <c r="Q20" s="15">
        <v>16</v>
      </c>
      <c r="R20" s="15">
        <v>17</v>
      </c>
      <c r="S20" s="15">
        <v>18</v>
      </c>
    </row>
    <row r="21" spans="1:21" s="19" customFormat="1" x14ac:dyDescent="0.15">
      <c r="A21" s="16" t="s">
        <v>5</v>
      </c>
      <c r="B21" s="17">
        <v>8.3333329999999997E-2</v>
      </c>
      <c r="C21" s="17">
        <v>0.16666665999999999</v>
      </c>
      <c r="D21" s="17">
        <v>0.24999999000000001</v>
      </c>
      <c r="E21" s="17">
        <v>0.33333331999999999</v>
      </c>
      <c r="F21" s="17">
        <v>0.41666664999999997</v>
      </c>
      <c r="G21" s="17">
        <v>0.49999997999999996</v>
      </c>
      <c r="H21" s="17">
        <v>0.58333330999999999</v>
      </c>
      <c r="I21" s="17">
        <v>0.66666663999999998</v>
      </c>
      <c r="J21" s="17">
        <v>0.74999996999999996</v>
      </c>
      <c r="K21" s="17">
        <v>0.83333329999999994</v>
      </c>
      <c r="L21" s="17">
        <v>0.91666662999999993</v>
      </c>
      <c r="M21" s="18">
        <v>0.99999995999999991</v>
      </c>
      <c r="N21" s="18">
        <v>1.0833332899999999</v>
      </c>
      <c r="O21" s="18">
        <v>1.16666662</v>
      </c>
      <c r="P21" s="18">
        <v>1.2499999500000001</v>
      </c>
      <c r="Q21" s="18">
        <v>1.3333332800000002</v>
      </c>
      <c r="R21" s="18">
        <v>1.4166666100000003</v>
      </c>
      <c r="S21" s="18">
        <v>1.4999999400000004</v>
      </c>
    </row>
    <row r="22" spans="1:21" s="21" customFormat="1" x14ac:dyDescent="0.15">
      <c r="A22" s="20" t="s">
        <v>35</v>
      </c>
      <c r="B22" s="81">
        <v>5.05168145270394E-3</v>
      </c>
      <c r="C22" s="81">
        <v>5.2948146301570204E-3</v>
      </c>
      <c r="D22" s="81">
        <v>5.5002925020481101E-3</v>
      </c>
      <c r="E22" s="81">
        <v>5.6817815208527701E-3</v>
      </c>
      <c r="F22" s="81">
        <v>5.8471700134028999E-3</v>
      </c>
      <c r="G22" s="81">
        <v>5.9811475728680204E-3</v>
      </c>
      <c r="H22" s="81">
        <v>6.0768350550297499E-3</v>
      </c>
      <c r="I22" s="81">
        <v>6.15074398491038E-3</v>
      </c>
      <c r="J22" s="81">
        <v>6.2218007756872397E-3</v>
      </c>
      <c r="K22" s="81">
        <v>6.3024314110683996E-3</v>
      </c>
      <c r="L22" s="81">
        <v>6.3991952895641599E-3</v>
      </c>
      <c r="M22" s="81">
        <v>6.5117775737688604E-3</v>
      </c>
      <c r="N22" s="81">
        <v>6.6353517546286897E-3</v>
      </c>
      <c r="O22" s="81">
        <v>6.7644696505689298E-3</v>
      </c>
      <c r="P22" s="81">
        <v>6.8948614547005996E-3</v>
      </c>
      <c r="Q22" s="81">
        <v>7.0240978590340401E-3</v>
      </c>
      <c r="R22" s="81">
        <v>7.1513378473988401E-3</v>
      </c>
      <c r="S22" s="81">
        <v>7.2768886753282001E-3</v>
      </c>
    </row>
    <row r="23" spans="1:21" x14ac:dyDescent="0.15">
      <c r="A23" s="22" t="s">
        <v>96</v>
      </c>
      <c r="B23" s="85">
        <f>EXP(-B22*B21)</f>
        <v>0.99957911515933173</v>
      </c>
      <c r="C23" s="85">
        <f>EXP(-C22*C21)</f>
        <v>0.99911792019158996</v>
      </c>
      <c r="D23" s="85">
        <f t="shared" ref="D23:S23" si="0">EXP(-D22*D21)</f>
        <v>0.9986258719092771</v>
      </c>
      <c r="E23" s="85">
        <f t="shared" si="0"/>
        <v>0.99810786525036133</v>
      </c>
      <c r="F23" s="85">
        <f t="shared" si="0"/>
        <v>0.9975666446791851</v>
      </c>
      <c r="G23" s="85">
        <f t="shared" si="0"/>
        <v>0.99701389364423343</v>
      </c>
      <c r="H23" s="8">
        <f t="shared" si="0"/>
        <v>0.99646145515121598</v>
      </c>
      <c r="I23" s="8">
        <f t="shared" si="0"/>
        <v>0.99590789972785754</v>
      </c>
      <c r="J23" s="8">
        <f t="shared" si="0"/>
        <v>0.99534452010280317</v>
      </c>
      <c r="K23" s="8">
        <f t="shared" si="0"/>
        <v>0.99476174180911425</v>
      </c>
      <c r="L23" s="8">
        <f t="shared" si="0"/>
        <v>0.9941512421884674</v>
      </c>
      <c r="M23" s="8">
        <f t="shared" si="0"/>
        <v>0.99350937836333175</v>
      </c>
      <c r="N23" s="8">
        <f t="shared" si="0"/>
        <v>0.99283747656936749</v>
      </c>
      <c r="O23" s="8">
        <f t="shared" si="0"/>
        <v>0.99213917819038921</v>
      </c>
      <c r="P23" s="8">
        <f t="shared" si="0"/>
        <v>0.991418456988307</v>
      </c>
      <c r="Q23" s="8">
        <f t="shared" si="0"/>
        <v>0.99067825592478953</v>
      </c>
      <c r="R23" s="8">
        <f t="shared" si="0"/>
        <v>0.98992008479082827</v>
      </c>
      <c r="S23" s="8">
        <f t="shared" si="0"/>
        <v>0.98914402350615371</v>
      </c>
    </row>
    <row r="24" spans="1:21" s="90" customFormat="1" x14ac:dyDescent="0.15">
      <c r="A24" s="88" t="s">
        <v>107</v>
      </c>
      <c r="B24" s="89">
        <f t="shared" ref="B24:S24" si="1">1/(1+B22/CPeriods)^(B21*CPeriods)</f>
        <v>0.99957920370651265</v>
      </c>
      <c r="C24" s="89">
        <f t="shared" si="1"/>
        <v>0.99911811465060185</v>
      </c>
      <c r="D24" s="89">
        <f t="shared" si="1"/>
        <v>0.9986261865178262</v>
      </c>
      <c r="E24" s="89">
        <f t="shared" si="1"/>
        <v>0.9981083126308723</v>
      </c>
      <c r="F24" s="89">
        <f t="shared" si="1"/>
        <v>0.99756723660862734</v>
      </c>
      <c r="G24" s="89">
        <f t="shared" si="1"/>
        <v>0.99701463646643096</v>
      </c>
      <c r="H24" s="89">
        <f t="shared" si="1"/>
        <v>0.99646234922743349</v>
      </c>
      <c r="I24" s="89">
        <f t="shared" si="1"/>
        <v>0.99590894594978563</v>
      </c>
      <c r="J24" s="89">
        <f t="shared" si="1"/>
        <v>0.99534572376830766</v>
      </c>
      <c r="K24" s="89">
        <f t="shared" si="1"/>
        <v>0.99476311329422085</v>
      </c>
      <c r="L24" s="89">
        <f t="shared" si="1"/>
        <v>0.99415279654035482</v>
      </c>
      <c r="M24" s="89">
        <f t="shared" si="1"/>
        <v>0.99351113306437189</v>
      </c>
      <c r="N24" s="89">
        <f t="shared" si="1"/>
        <v>0.99283944897977217</v>
      </c>
      <c r="O24" s="89">
        <f t="shared" si="1"/>
        <v>0.99214138422817599</v>
      </c>
      <c r="P24" s="89">
        <f t="shared" si="1"/>
        <v>0.99142091079904737</v>
      </c>
      <c r="Q24" s="89">
        <f t="shared" si="1"/>
        <v>0.9906809703156102</v>
      </c>
      <c r="R24" s="89">
        <f t="shared" si="1"/>
        <v>0.98992307195641904</v>
      </c>
      <c r="S24" s="89">
        <f t="shared" si="1"/>
        <v>0.98914729582929195</v>
      </c>
      <c r="U24" s="10" t="s">
        <v>108</v>
      </c>
    </row>
    <row r="25" spans="1:21" s="90" customFormat="1" x14ac:dyDescent="0.15">
      <c r="A25" s="88"/>
      <c r="B25" s="92">
        <v>12</v>
      </c>
      <c r="C25" s="91" t="s">
        <v>114</v>
      </c>
      <c r="E25" s="93">
        <f>1/CPeriods</f>
        <v>8.3333333333333329E-2</v>
      </c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</row>
    <row r="26" spans="1:21" x14ac:dyDescent="0.15">
      <c r="A26" s="25" t="s">
        <v>103</v>
      </c>
      <c r="C26" s="23"/>
      <c r="S26" s="23"/>
    </row>
    <row r="27" spans="1:21" x14ac:dyDescent="0.15">
      <c r="A27" s="20" t="s">
        <v>104</v>
      </c>
      <c r="B27" s="84">
        <f>-LN(B23/1)/(B21-0)</f>
        <v>5.0516814527042453E-3</v>
      </c>
      <c r="C27" s="84">
        <f t="shared" ref="C27:S27" si="2">-LN(C23/B23)/(C21-B21)</f>
        <v>5.5379478076098857E-3</v>
      </c>
      <c r="D27" s="84">
        <f t="shared" si="2"/>
        <v>5.9112482458308375E-3</v>
      </c>
      <c r="E27" s="84">
        <f t="shared" si="2"/>
        <v>6.2262485772661968E-3</v>
      </c>
      <c r="F27" s="84">
        <f t="shared" si="2"/>
        <v>6.5087239836039215E-3</v>
      </c>
      <c r="G27" s="84">
        <f t="shared" si="2"/>
        <v>6.6510353701931613E-3</v>
      </c>
      <c r="H27" s="84">
        <f t="shared" si="2"/>
        <v>6.6509599480010671E-3</v>
      </c>
      <c r="I27" s="84">
        <f t="shared" si="2"/>
        <v>6.6681064940748488E-3</v>
      </c>
      <c r="J27" s="84">
        <f t="shared" si="2"/>
        <v>6.7902551019006193E-3</v>
      </c>
      <c r="K27" s="84">
        <f t="shared" si="2"/>
        <v>7.0281071295001255E-3</v>
      </c>
      <c r="L27" s="84">
        <f t="shared" si="2"/>
        <v>7.3668340745208305E-3</v>
      </c>
      <c r="M27" s="84">
        <f t="shared" si="2"/>
        <v>7.7501827000214388E-3</v>
      </c>
      <c r="N27" s="84">
        <f t="shared" si="2"/>
        <v>8.1182419249456132E-3</v>
      </c>
      <c r="O27" s="84">
        <f t="shared" si="2"/>
        <v>8.4430022977933575E-3</v>
      </c>
      <c r="P27" s="84">
        <f t="shared" si="2"/>
        <v>8.7203467125438888E-3</v>
      </c>
      <c r="Q27" s="84">
        <f t="shared" si="2"/>
        <v>8.9626439240353337E-3</v>
      </c>
      <c r="R27" s="84">
        <f t="shared" si="2"/>
        <v>9.1871776612356404E-3</v>
      </c>
      <c r="S27" s="84">
        <f t="shared" si="2"/>
        <v>9.4112527501280883E-3</v>
      </c>
    </row>
    <row r="28" spans="1:21" x14ac:dyDescent="0.15">
      <c r="A28" s="20" t="s">
        <v>105</v>
      </c>
      <c r="B28" s="87">
        <f>(B24/1)^(-1/(B21-0))-1</f>
        <v>5.0633943120710345E-3</v>
      </c>
      <c r="C28" s="87">
        <f t="shared" ref="C28:S28" si="3">(C24/B24)^(-1/(C21-B21))-1</f>
        <v>5.552030966230026E-3</v>
      </c>
      <c r="D28" s="87">
        <f t="shared" si="3"/>
        <v>5.9273006562157171E-3</v>
      </c>
      <c r="E28" s="87">
        <f t="shared" si="3"/>
        <v>6.2440637273566413E-3</v>
      </c>
      <c r="F28" s="87">
        <f t="shared" si="3"/>
        <v>6.5281986501894984E-3</v>
      </c>
      <c r="G28" s="87">
        <f t="shared" si="3"/>
        <v>6.6713703969036864E-3</v>
      </c>
      <c r="H28" s="87">
        <f t="shared" si="3"/>
        <v>6.6712880629087312E-3</v>
      </c>
      <c r="I28" s="87">
        <f t="shared" si="3"/>
        <v>6.688536276623358E-3</v>
      </c>
      <c r="J28" s="87">
        <f t="shared" si="3"/>
        <v>6.8114428805001737E-3</v>
      </c>
      <c r="K28" s="87">
        <f t="shared" si="3"/>
        <v>7.0508149595567282E-3</v>
      </c>
      <c r="L28" s="87">
        <f t="shared" si="3"/>
        <v>7.3918020912631111E-3</v>
      </c>
      <c r="M28" s="87">
        <f t="shared" si="3"/>
        <v>7.7778421701302225E-3</v>
      </c>
      <c r="N28" s="87">
        <f t="shared" si="3"/>
        <v>8.1486169454765278E-3</v>
      </c>
      <c r="O28" s="87">
        <f t="shared" si="3"/>
        <v>8.4758783513290137E-3</v>
      </c>
      <c r="P28" s="87">
        <f t="shared" si="3"/>
        <v>8.7554348661165182E-3</v>
      </c>
      <c r="Q28" s="87">
        <f t="shared" si="3"/>
        <v>8.9997215013823961E-3</v>
      </c>
      <c r="R28" s="87">
        <f t="shared" si="3"/>
        <v>9.2261467692893451E-3</v>
      </c>
      <c r="S28" s="87">
        <f t="shared" si="3"/>
        <v>9.452157025668706E-3</v>
      </c>
      <c r="U28" s="10" t="s">
        <v>115</v>
      </c>
    </row>
    <row r="29" spans="1:21" x14ac:dyDescent="0.15">
      <c r="A29" s="20"/>
      <c r="B29" s="23"/>
      <c r="C29" s="23"/>
      <c r="D29" s="23"/>
      <c r="E29" s="23"/>
      <c r="F29" s="23"/>
      <c r="G29" s="23"/>
      <c r="H29" s="23"/>
      <c r="I29" s="23"/>
      <c r="J29" s="23"/>
      <c r="K29" s="23"/>
    </row>
    <row r="30" spans="1:21" x14ac:dyDescent="0.15">
      <c r="A30" s="28" t="s">
        <v>113</v>
      </c>
    </row>
    <row r="32" spans="1:21" x14ac:dyDescent="0.15">
      <c r="A32" s="10" t="s">
        <v>106</v>
      </c>
      <c r="C32" s="24"/>
    </row>
    <row r="33" spans="1:19" x14ac:dyDescent="0.15">
      <c r="A33" s="26" t="s">
        <v>101</v>
      </c>
      <c r="B33" s="23">
        <f>EXP(-B27*(B21-0))</f>
        <v>0.99957911515933173</v>
      </c>
      <c r="C33" s="23">
        <f>EXP(-C27*(C21-B21))</f>
        <v>0.9995386108405554</v>
      </c>
      <c r="D33" s="23">
        <f>EXP(-D27*(D21-C21))</f>
        <v>0.99950751730864906</v>
      </c>
      <c r="E33" s="23">
        <f>EXP(-E27*(E21-D21))</f>
        <v>0.99948128055412244</v>
      </c>
      <c r="F33" s="23">
        <f>EXP(-F27*(F21-E21))</f>
        <v>0.99945775342523679</v>
      </c>
      <c r="G33" s="23">
        <f>EXP(-G27*(G21-F21))</f>
        <v>0.99944590064443317</v>
      </c>
      <c r="H33" s="23"/>
      <c r="I33" s="23"/>
    </row>
    <row r="34" spans="1:19" x14ac:dyDescent="0.15">
      <c r="A34" s="27" t="s">
        <v>102</v>
      </c>
      <c r="B34" s="86">
        <f>PRODUCT(B33)</f>
        <v>0.99957911515933173</v>
      </c>
      <c r="C34" s="86">
        <f>PRODUCT(B33:C33)</f>
        <v>0.99911792019158996</v>
      </c>
      <c r="D34" s="86">
        <f>PRODUCT(B33:D33)</f>
        <v>0.9986258719092771</v>
      </c>
      <c r="E34" s="86">
        <f>PRODUCT(B33:E33)</f>
        <v>0.99810786525036133</v>
      </c>
      <c r="F34" s="86">
        <f>PRODUCT(B33:F33)</f>
        <v>0.9975666446791851</v>
      </c>
      <c r="G34" s="86">
        <f>PRODUCT(B33:G33)</f>
        <v>0.99701389364423343</v>
      </c>
      <c r="H34" s="24"/>
      <c r="I34" s="24"/>
    </row>
    <row r="36" spans="1:19" x14ac:dyDescent="0.15">
      <c r="A36" s="28" t="s">
        <v>33</v>
      </c>
    </row>
    <row r="37" spans="1:19" x14ac:dyDescent="0.15">
      <c r="A37" s="25" t="s">
        <v>100</v>
      </c>
      <c r="B37" s="83">
        <v>5.3164145375214997E-3</v>
      </c>
      <c r="C37" s="83">
        <v>5.7421339373991496E-3</v>
      </c>
      <c r="D37" s="83">
        <v>6.0710613829621403E-3</v>
      </c>
      <c r="E37" s="83">
        <v>6.3783454829178599E-3</v>
      </c>
      <c r="F37" s="83">
        <v>6.6132828188437904E-3</v>
      </c>
      <c r="G37" s="83">
        <v>6.6626894705942297E-3</v>
      </c>
      <c r="H37" s="83">
        <v>6.6435318594059902E-3</v>
      </c>
      <c r="I37" s="83">
        <v>6.7102049611327003E-3</v>
      </c>
      <c r="J37" s="83">
        <v>6.8901365664095398E-3</v>
      </c>
      <c r="K37" s="83">
        <v>7.1835909986948197E-3</v>
      </c>
      <c r="L37" s="83">
        <v>7.5572227998350599E-3</v>
      </c>
      <c r="M37" s="83">
        <v>7.9402079822609994E-3</v>
      </c>
      <c r="N37" s="83">
        <v>8.2887208464519808E-3</v>
      </c>
      <c r="O37" s="83">
        <v>8.5889398603041702E-3</v>
      </c>
      <c r="P37" s="83">
        <v>8.8459009552536803E-3</v>
      </c>
      <c r="Q37" s="83">
        <v>9.0764267396317207E-3</v>
      </c>
      <c r="R37" s="83">
        <v>9.2978549035108507E-3</v>
      </c>
      <c r="S37" s="83">
        <v>9.5274428683296691E-3</v>
      </c>
    </row>
    <row r="39" spans="1:19" x14ac:dyDescent="0.15">
      <c r="A39" s="29"/>
    </row>
    <row r="58" spans="1:19" x14ac:dyDescent="0.15">
      <c r="A58" s="29" t="s">
        <v>54</v>
      </c>
    </row>
    <row r="59" spans="1:19" x14ac:dyDescent="0.15">
      <c r="A59" s="29"/>
    </row>
    <row r="61" spans="1:19" x14ac:dyDescent="0.15">
      <c r="A61" s="13" t="s">
        <v>40</v>
      </c>
    </row>
    <row r="62" spans="1:19" x14ac:dyDescent="0.15">
      <c r="A62" s="10" t="s">
        <v>49</v>
      </c>
    </row>
    <row r="64" spans="1:19" s="15" customFormat="1" x14ac:dyDescent="0.15">
      <c r="A64" s="14" t="s">
        <v>16</v>
      </c>
      <c r="B64" s="15">
        <v>1</v>
      </c>
      <c r="C64" s="15">
        <v>2</v>
      </c>
      <c r="D64" s="15">
        <v>3</v>
      </c>
      <c r="E64" s="15">
        <v>4</v>
      </c>
      <c r="F64" s="15">
        <v>5</v>
      </c>
      <c r="G64" s="15">
        <v>6</v>
      </c>
      <c r="H64" s="15">
        <v>7</v>
      </c>
      <c r="I64" s="15">
        <v>8</v>
      </c>
      <c r="J64" s="15">
        <v>9</v>
      </c>
      <c r="K64" s="15">
        <v>10</v>
      </c>
      <c r="L64" s="15">
        <v>11</v>
      </c>
      <c r="M64" s="15">
        <v>12</v>
      </c>
      <c r="N64" s="15">
        <v>13</v>
      </c>
      <c r="O64" s="15">
        <v>14</v>
      </c>
      <c r="P64" s="15">
        <v>15</v>
      </c>
      <c r="Q64" s="15">
        <v>16</v>
      </c>
      <c r="R64" s="15">
        <v>17</v>
      </c>
      <c r="S64" s="15">
        <v>18</v>
      </c>
    </row>
    <row r="65" spans="1:21" s="19" customFormat="1" x14ac:dyDescent="0.15">
      <c r="A65" s="16" t="s">
        <v>5</v>
      </c>
      <c r="B65" s="17">
        <v>8.3333329999999997E-2</v>
      </c>
      <c r="C65" s="17">
        <v>0.16666665999999999</v>
      </c>
      <c r="D65" s="17">
        <v>0.24999999000000001</v>
      </c>
      <c r="E65" s="17">
        <v>0.33333331999999999</v>
      </c>
      <c r="F65" s="17">
        <v>0.41666664999999997</v>
      </c>
      <c r="G65" s="17">
        <v>0.49999997999999996</v>
      </c>
      <c r="H65" s="17">
        <v>0.58333330999999999</v>
      </c>
      <c r="I65" s="17">
        <v>0.66666663999999998</v>
      </c>
      <c r="J65" s="17">
        <v>0.74999996999999996</v>
      </c>
      <c r="K65" s="17">
        <v>0.83333329999999994</v>
      </c>
      <c r="L65" s="17">
        <v>0.91666662999999993</v>
      </c>
      <c r="M65" s="18">
        <v>0.99999995999999991</v>
      </c>
      <c r="N65" s="18">
        <v>1.0833332899999999</v>
      </c>
      <c r="O65" s="18">
        <v>1.16666662</v>
      </c>
      <c r="P65" s="18">
        <v>1.2499999500000001</v>
      </c>
      <c r="Q65" s="18">
        <v>1.3333332800000002</v>
      </c>
      <c r="R65" s="18">
        <v>1.4166666100000003</v>
      </c>
      <c r="S65" s="18">
        <v>1.4999999400000004</v>
      </c>
      <c r="U65" s="58" t="s">
        <v>111</v>
      </c>
    </row>
    <row r="66" spans="1:21" s="21" customFormat="1" x14ac:dyDescent="0.15">
      <c r="A66" s="20" t="s">
        <v>109</v>
      </c>
      <c r="B66" s="81">
        <f t="array" ref="B66:S66">SpotCurve</f>
        <v>5.05168145270394E-3</v>
      </c>
      <c r="C66" s="81">
        <v>5.2948146301570204E-3</v>
      </c>
      <c r="D66" s="81">
        <v>5.5002925020481101E-3</v>
      </c>
      <c r="E66" s="81">
        <v>5.6817815208527701E-3</v>
      </c>
      <c r="F66" s="81">
        <v>5.8471700134028999E-3</v>
      </c>
      <c r="G66" s="81">
        <v>5.9811475728680204E-3</v>
      </c>
      <c r="H66" s="81">
        <v>6.0768350550297499E-3</v>
      </c>
      <c r="I66" s="81">
        <v>6.15074398491038E-3</v>
      </c>
      <c r="J66" s="81">
        <v>6.2218007756872397E-3</v>
      </c>
      <c r="K66" s="81">
        <v>6.3024314110683996E-3</v>
      </c>
      <c r="L66" s="81">
        <v>6.3991952895641599E-3</v>
      </c>
      <c r="M66" s="81">
        <v>6.5117775737688604E-3</v>
      </c>
      <c r="N66" s="81">
        <v>6.6353517546286897E-3</v>
      </c>
      <c r="O66" s="81">
        <v>6.7644696505689298E-3</v>
      </c>
      <c r="P66" s="81">
        <v>6.8948614547005996E-3</v>
      </c>
      <c r="Q66" s="81">
        <v>7.0240978590340401E-3</v>
      </c>
      <c r="R66" s="81">
        <v>7.1513378473988401E-3</v>
      </c>
      <c r="S66" s="81">
        <v>7.2768886753282001E-3</v>
      </c>
      <c r="U66" s="21" t="s">
        <v>110</v>
      </c>
    </row>
    <row r="67" spans="1:21" x14ac:dyDescent="0.15">
      <c r="A67" s="25" t="s">
        <v>112</v>
      </c>
      <c r="B67" s="87">
        <f t="array" ref="B67:S67">FwdCurve</f>
        <v>5.0633943120710345E-3</v>
      </c>
      <c r="C67" s="87">
        <v>5.552030966230026E-3</v>
      </c>
      <c r="D67" s="87">
        <v>5.9273006562157171E-3</v>
      </c>
      <c r="E67" s="87">
        <v>6.2440637273566413E-3</v>
      </c>
      <c r="F67" s="87">
        <v>6.5281986501894984E-3</v>
      </c>
      <c r="G67" s="87">
        <v>6.6713703969036864E-3</v>
      </c>
      <c r="H67" s="87">
        <v>6.6712880629087312E-3</v>
      </c>
      <c r="I67" s="87">
        <v>6.688536276623358E-3</v>
      </c>
      <c r="J67" s="87">
        <v>6.8114428805001737E-3</v>
      </c>
      <c r="K67" s="87">
        <v>7.0508149595567282E-3</v>
      </c>
      <c r="L67" s="87">
        <v>7.3918020912631111E-3</v>
      </c>
      <c r="M67" s="87">
        <v>7.7778421701302225E-3</v>
      </c>
      <c r="N67" s="87">
        <v>8.1486169454765278E-3</v>
      </c>
      <c r="O67" s="87">
        <v>8.4758783513290137E-3</v>
      </c>
      <c r="P67" s="87">
        <v>8.7554348661165182E-3</v>
      </c>
      <c r="Q67" s="87">
        <v>8.9997215013823961E-3</v>
      </c>
      <c r="R67" s="87">
        <v>9.2261467692893451E-3</v>
      </c>
      <c r="S67" s="87">
        <v>9.452157025668706E-3</v>
      </c>
    </row>
    <row r="69" spans="1:21" x14ac:dyDescent="0.15">
      <c r="A69" s="20" t="s">
        <v>41</v>
      </c>
      <c r="B69" s="94">
        <f>(1+B66/12)^B64-1</f>
        <v>4.2097345439207068E-4</v>
      </c>
      <c r="C69" s="94">
        <f>(1+C66/12)^C64/(1+B69)-1</f>
        <v>4.6149606097345419E-4</v>
      </c>
      <c r="D69" s="94">
        <f>(1+D66/12)^D64/((1+B69)*(1+C69))-1</f>
        <v>4.9260489971025834E-4</v>
      </c>
      <c r="E69" s="94">
        <f>(1+E66/12)^E64/((1+B69)*(1+C69)*(1+D69))-1</f>
        <v>5.1885541991869566E-4</v>
      </c>
      <c r="F69" s="10" t="s">
        <v>42</v>
      </c>
    </row>
    <row r="70" spans="1:21" x14ac:dyDescent="0.15">
      <c r="A70" s="20"/>
      <c r="B70" s="94">
        <f t="array" ref="B70:S70">FwdBootstrapExplicit(B65:S65,B66:S66,S64)</f>
        <v>4.2097345439207068E-4</v>
      </c>
      <c r="C70" s="94">
        <v>4.6149606097345419E-4</v>
      </c>
      <c r="D70" s="94">
        <v>4.9260489971025834E-4</v>
      </c>
      <c r="E70" s="94">
        <v>5.1885541991869566E-4</v>
      </c>
      <c r="F70" s="94">
        <v>5.4239556396540323E-4</v>
      </c>
      <c r="G70" s="94">
        <v>5.5425481642368268E-4</v>
      </c>
      <c r="H70" s="94">
        <v>5.542479969498082E-4</v>
      </c>
      <c r="I70" s="94">
        <v>5.5567660280675391E-4</v>
      </c>
      <c r="J70" s="94">
        <v>5.6585585346247136E-4</v>
      </c>
      <c r="K70" s="94">
        <v>5.8567762476502416E-4</v>
      </c>
      <c r="L70" s="94">
        <v>6.1390641399383661E-4</v>
      </c>
      <c r="M70" s="94">
        <v>6.458543646901127E-4</v>
      </c>
      <c r="N70" s="94">
        <v>6.7652842780008271E-4</v>
      </c>
      <c r="O70" s="94">
        <v>7.035940548649755E-4</v>
      </c>
      <c r="P70" s="94">
        <v>7.2670795028662027E-4</v>
      </c>
      <c r="Q70" s="94">
        <v>7.4690090474871518E-4</v>
      </c>
      <c r="R70" s="94">
        <v>7.6561342086955975E-4</v>
      </c>
      <c r="S70" s="94">
        <v>7.842878016666166E-4</v>
      </c>
    </row>
    <row r="71" spans="1:21" x14ac:dyDescent="0.15">
      <c r="A71" s="25" t="s">
        <v>43</v>
      </c>
      <c r="B71" s="95">
        <f>12*B70</f>
        <v>5.0516814527048481E-3</v>
      </c>
      <c r="C71" s="87">
        <f t="shared" ref="C71:S71" si="4">12*(EXP(C70)-1)</f>
        <v>5.5392307999673207E-3</v>
      </c>
      <c r="D71" s="87">
        <f t="shared" si="4"/>
        <v>5.9127149931477163E-3</v>
      </c>
      <c r="E71" s="87">
        <f t="shared" si="4"/>
        <v>6.2278805841033957E-3</v>
      </c>
      <c r="F71" s="87">
        <f t="shared" si="4"/>
        <v>6.5105122444535368E-3</v>
      </c>
      <c r="G71" s="87">
        <f t="shared" si="4"/>
        <v>6.6529013280733906E-3</v>
      </c>
      <c r="H71" s="87">
        <f t="shared" si="4"/>
        <v>6.6528194490178549E-3</v>
      </c>
      <c r="I71" s="87">
        <f t="shared" si="4"/>
        <v>6.6699722358087854E-3</v>
      </c>
      <c r="J71" s="87">
        <f t="shared" si="4"/>
        <v>6.7921917610478388E-3</v>
      </c>
      <c r="K71" s="87">
        <f t="shared" si="4"/>
        <v>7.0301900087175184E-3</v>
      </c>
      <c r="L71" s="87">
        <f t="shared" si="4"/>
        <v>7.3691387172472034E-3</v>
      </c>
      <c r="M71" s="87">
        <f t="shared" si="4"/>
        <v>7.7527556823371313E-3</v>
      </c>
      <c r="N71" s="87">
        <f t="shared" si="4"/>
        <v>8.1210878972681755E-3</v>
      </c>
      <c r="O71" s="87">
        <f t="shared" si="4"/>
        <v>8.4460996226862761E-3</v>
      </c>
      <c r="P71" s="87">
        <f t="shared" si="4"/>
        <v>8.7236647978050641E-3</v>
      </c>
      <c r="Q71" s="87">
        <f t="shared" si="4"/>
        <v>8.9661588562437444E-3</v>
      </c>
      <c r="R71" s="87">
        <f t="shared" si="4"/>
        <v>9.190878931618407E-3</v>
      </c>
      <c r="S71" s="87">
        <f t="shared" si="4"/>
        <v>9.4151452291670878E-3</v>
      </c>
    </row>
    <row r="72" spans="1:21" s="32" customFormat="1" x14ac:dyDescent="0.15">
      <c r="A72" s="30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</row>
    <row r="73" spans="1:21" x14ac:dyDescent="0.15">
      <c r="A73" s="20" t="s">
        <v>48</v>
      </c>
      <c r="B73" s="23"/>
      <c r="C73" s="23">
        <f t="shared" ref="C73:S73" si="5">C71-C67</f>
        <v>-1.2800166262705304E-5</v>
      </c>
      <c r="D73" s="23">
        <f t="shared" si="5"/>
        <v>-1.4585663068000798E-5</v>
      </c>
      <c r="E73" s="23">
        <f t="shared" si="5"/>
        <v>-1.6183143253245547E-5</v>
      </c>
      <c r="F73" s="23">
        <f t="shared" si="5"/>
        <v>-1.7686405735961586E-5</v>
      </c>
      <c r="G73" s="23">
        <f t="shared" si="5"/>
        <v>-1.8469068830295754E-5</v>
      </c>
      <c r="H73" s="23">
        <f t="shared" si="5"/>
        <v>-1.8468613890876284E-5</v>
      </c>
      <c r="I73" s="23">
        <f t="shared" si="5"/>
        <v>-1.8564040814572635E-5</v>
      </c>
      <c r="J73" s="23">
        <f t="shared" si="5"/>
        <v>-1.9251119452334819E-5</v>
      </c>
      <c r="K73" s="23">
        <f t="shared" si="5"/>
        <v>-2.0624950839209788E-5</v>
      </c>
      <c r="L73" s="23">
        <f t="shared" si="5"/>
        <v>-2.2663374015907678E-5</v>
      </c>
      <c r="M73" s="23">
        <f t="shared" si="5"/>
        <v>-2.5086487793091194E-5</v>
      </c>
      <c r="N73" s="23">
        <f t="shared" si="5"/>
        <v>-2.7529048208352336E-5</v>
      </c>
      <c r="O73" s="23">
        <f t="shared" si="5"/>
        <v>-2.9778728642737562E-5</v>
      </c>
      <c r="P73" s="23">
        <f t="shared" si="5"/>
        <v>-3.1770068311454125E-5</v>
      </c>
      <c r="Q73" s="23">
        <f t="shared" si="5"/>
        <v>-3.3562645138651703E-5</v>
      </c>
      <c r="R73" s="23">
        <f t="shared" si="5"/>
        <v>-3.5267837670938107E-5</v>
      </c>
      <c r="S73" s="23">
        <f t="shared" si="5"/>
        <v>-3.7011796501618122E-5</v>
      </c>
    </row>
    <row r="74" spans="1:21" x14ac:dyDescent="0.15">
      <c r="A74" s="28"/>
      <c r="B74" s="24"/>
    </row>
    <row r="75" spans="1:21" hidden="1" x14ac:dyDescent="0.15">
      <c r="A75" s="10" t="s">
        <v>44</v>
      </c>
    </row>
    <row r="76" spans="1:21" hidden="1" x14ac:dyDescent="0.15">
      <c r="A76" s="20" t="s">
        <v>45</v>
      </c>
      <c r="B76" s="24">
        <f>(1+B66)</f>
        <v>1.005051681452704</v>
      </c>
      <c r="C76" s="24">
        <f>(1+$B$66)*(1+C67)</f>
        <v>1.010631759510791</v>
      </c>
      <c r="D76" s="24">
        <f>(1+$B$66)*(1+C67)*(1+D67)</f>
        <v>1.0166220778021318</v>
      </c>
      <c r="E76" s="24">
        <f>(1+$B$66)*(1+C67)*(1+D67)*(1+E67)</f>
        <v>1.0229699308425659</v>
      </c>
      <c r="G76" s="24"/>
      <c r="H76" s="24"/>
      <c r="I76" s="24"/>
    </row>
    <row r="77" spans="1:21" hidden="1" x14ac:dyDescent="0.15">
      <c r="A77" s="20" t="s">
        <v>46</v>
      </c>
      <c r="B77" s="24">
        <f>B76^(1/B$64)-1</f>
        <v>5.05168145270396E-3</v>
      </c>
      <c r="C77" s="24">
        <f t="shared" ref="C77:E77" si="6">C76^(1/C$64)-1</f>
        <v>5.3018250808016809E-3</v>
      </c>
      <c r="D77" s="24">
        <f t="shared" si="6"/>
        <v>5.5102737146066616E-3</v>
      </c>
      <c r="E77" s="24">
        <f t="shared" si="6"/>
        <v>5.6936710363064691E-3</v>
      </c>
      <c r="F77" s="24" t="s">
        <v>36</v>
      </c>
    </row>
    <row r="78" spans="1:21" hidden="1" x14ac:dyDescent="0.15">
      <c r="A78" s="20"/>
    </row>
    <row r="79" spans="1:21" hidden="1" x14ac:dyDescent="0.15">
      <c r="A79" s="10" t="s">
        <v>47</v>
      </c>
    </row>
    <row r="80" spans="1:21" hidden="1" x14ac:dyDescent="0.15">
      <c r="A80" s="20" t="s">
        <v>45</v>
      </c>
      <c r="B80" s="24">
        <f>(1+$B$66)</f>
        <v>1.005051681452704</v>
      </c>
      <c r="C80" s="24">
        <f>(1+$B$66)*(1+C71)</f>
        <v>1.0106188946821657</v>
      </c>
      <c r="D80" s="24">
        <f>(1+$B$66)*(1+C71)*(1+D71)</f>
        <v>1.0165943961731114</v>
      </c>
      <c r="E80" s="24">
        <f>(1+$B$66)*(1+C71)*(1+D71)*(1+E71)</f>
        <v>1.0229256246749463</v>
      </c>
    </row>
    <row r="81" spans="1:6" hidden="1" x14ac:dyDescent="0.15">
      <c r="A81" s="20" t="s">
        <v>46</v>
      </c>
      <c r="B81" s="24">
        <f>B80^(1/B$64)-1</f>
        <v>5.05168145270396E-3</v>
      </c>
      <c r="C81" s="24">
        <f t="shared" ref="C81:E81" si="7">C80^(1/C$64)-1</f>
        <v>5.2954265698048619E-3</v>
      </c>
      <c r="D81" s="24">
        <f t="shared" si="7"/>
        <v>5.5011472766322012E-3</v>
      </c>
      <c r="E81" s="24">
        <f t="shared" si="7"/>
        <v>5.6827813818933759E-3</v>
      </c>
      <c r="F81" s="24" t="s">
        <v>36</v>
      </c>
    </row>
  </sheetData>
  <mergeCells count="1">
    <mergeCell ref="E17:I17"/>
  </mergeCells>
  <pageMargins left="0.75" right="0.75" top="1" bottom="1" header="0.5" footer="0.5"/>
  <pageSetup paperSize="9" orientation="portrait" horizontalDpi="4294967292" verticalDpi="429496729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76"/>
  <sheetViews>
    <sheetView topLeftCell="A57" zoomScale="130" zoomScaleNormal="130" zoomScalePageLayoutView="130" workbookViewId="0">
      <selection activeCell="I79" sqref="I79"/>
    </sheetView>
  </sheetViews>
  <sheetFormatPr baseColWidth="10" defaultColWidth="10.83203125" defaultRowHeight="12" x14ac:dyDescent="0.15"/>
  <cols>
    <col min="1" max="1" width="13" style="35" customWidth="1"/>
    <col min="2" max="2" width="8.5" style="35" customWidth="1"/>
    <col min="3" max="3" width="11.1640625" style="35" customWidth="1"/>
    <col min="4" max="12" width="10.83203125" style="35"/>
    <col min="13" max="13" width="4.6640625" style="35" customWidth="1"/>
    <col min="14" max="16384" width="10.83203125" style="35"/>
  </cols>
  <sheetData>
    <row r="1" spans="1:14" ht="15" x14ac:dyDescent="0.2">
      <c r="A1" s="62" t="s">
        <v>4</v>
      </c>
    </row>
    <row r="2" spans="1:14" x14ac:dyDescent="0.15">
      <c r="A2" s="36"/>
    </row>
    <row r="3" spans="1:14" x14ac:dyDescent="0.15">
      <c r="A3" s="34" t="s">
        <v>130</v>
      </c>
      <c r="D3" s="35">
        <f>0.5</f>
        <v>0.5</v>
      </c>
      <c r="E3" s="35" t="s">
        <v>152</v>
      </c>
    </row>
    <row r="4" spans="1:14" x14ac:dyDescent="0.15">
      <c r="A4" s="57" t="s">
        <v>176</v>
      </c>
      <c r="N4" s="35" t="s">
        <v>120</v>
      </c>
    </row>
    <row r="5" spans="1:14" x14ac:dyDescent="0.15">
      <c r="A5" s="54"/>
    </row>
    <row r="6" spans="1:14" s="19" customFormat="1" x14ac:dyDescent="0.15">
      <c r="A6" s="16" t="s">
        <v>5</v>
      </c>
      <c r="B6" s="17">
        <v>0</v>
      </c>
      <c r="C6" s="37">
        <v>0.5</v>
      </c>
      <c r="D6" s="37">
        <v>1</v>
      </c>
      <c r="E6" s="37">
        <v>1.5</v>
      </c>
      <c r="F6" s="37">
        <v>2</v>
      </c>
      <c r="G6" s="37">
        <v>2.5</v>
      </c>
      <c r="H6" s="37">
        <v>3</v>
      </c>
      <c r="I6" s="37">
        <v>3.5</v>
      </c>
      <c r="J6" s="37">
        <v>4</v>
      </c>
      <c r="K6" s="37">
        <v>4.5</v>
      </c>
      <c r="L6" s="37">
        <v>5</v>
      </c>
    </row>
    <row r="7" spans="1:14" s="19" customFormat="1" x14ac:dyDescent="0.15">
      <c r="A7" s="38" t="s">
        <v>134</v>
      </c>
      <c r="B7" s="39"/>
      <c r="C7" s="80">
        <v>6.6626894668954202E-3</v>
      </c>
      <c r="D7" s="80">
        <v>7.9402081601174998E-3</v>
      </c>
      <c r="E7" s="80">
        <v>9.5274430406951903E-3</v>
      </c>
      <c r="F7" s="80">
        <v>1.1401799325897201E-2</v>
      </c>
      <c r="G7" s="80">
        <v>1.3174741685378299E-2</v>
      </c>
      <c r="H7" s="80">
        <v>1.42953729574728E-2</v>
      </c>
      <c r="I7" s="80">
        <v>1.49727758817616E-2</v>
      </c>
      <c r="J7" s="80">
        <v>1.5422868363145501E-2</v>
      </c>
      <c r="K7" s="80">
        <v>1.5825632207169898E-2</v>
      </c>
      <c r="L7" s="80">
        <v>1.6216660972329201E-2</v>
      </c>
      <c r="N7" s="45" t="s">
        <v>146</v>
      </c>
    </row>
    <row r="9" spans="1:14" x14ac:dyDescent="0.15">
      <c r="A9" s="58" t="s">
        <v>122</v>
      </c>
      <c r="N9" s="76" t="s">
        <v>124</v>
      </c>
    </row>
    <row r="11" spans="1:14" x14ac:dyDescent="0.15">
      <c r="A11" s="34" t="s">
        <v>132</v>
      </c>
      <c r="C11" s="13"/>
    </row>
    <row r="12" spans="1:14" x14ac:dyDescent="0.15">
      <c r="A12" s="34"/>
      <c r="C12" s="13"/>
    </row>
    <row r="13" spans="1:14" x14ac:dyDescent="0.15">
      <c r="A13" s="40" t="s">
        <v>121</v>
      </c>
    </row>
    <row r="14" spans="1:14" x14ac:dyDescent="0.15">
      <c r="A14" s="16"/>
      <c r="B14" s="17">
        <v>0</v>
      </c>
      <c r="C14" s="41">
        <v>0.5</v>
      </c>
      <c r="D14" s="41">
        <v>1</v>
      </c>
      <c r="E14" s="41">
        <v>1.5</v>
      </c>
      <c r="F14" s="41">
        <v>2</v>
      </c>
      <c r="G14" s="41">
        <v>2.5</v>
      </c>
      <c r="H14" s="41">
        <v>3</v>
      </c>
      <c r="I14" s="41">
        <v>3.5</v>
      </c>
      <c r="J14" s="41">
        <v>4</v>
      </c>
      <c r="K14" s="41">
        <v>4.5</v>
      </c>
      <c r="L14" s="41">
        <v>5</v>
      </c>
    </row>
    <row r="15" spans="1:14" x14ac:dyDescent="0.15">
      <c r="A15" s="22" t="s">
        <v>116</v>
      </c>
      <c r="B15" s="42">
        <v>1</v>
      </c>
      <c r="C15" s="43">
        <f>EXP(-SUM(B7:C7)*DeltaT)</f>
        <v>0.9966741980387489</v>
      </c>
      <c r="D15" s="43">
        <f>EXP(-SUM(B7:D7)*DeltaT)</f>
        <v>0.99272514200735096</v>
      </c>
      <c r="E15" s="43">
        <f>EXP(-SUM(B7:E7)*DeltaT)</f>
        <v>0.98800732199674146</v>
      </c>
      <c r="F15" s="43">
        <f>EXP(-SUM(B7:F7)*DeltaT)</f>
        <v>0.98239081616735635</v>
      </c>
      <c r="G15" s="43">
        <f>EXP(-SUM(B7:G7)*DeltaT)</f>
        <v>0.97594071148889894</v>
      </c>
      <c r="H15" s="43">
        <f>EXP(-SUM(B7:H7)*DeltaT)</f>
        <v>0.96898986409318721</v>
      </c>
      <c r="I15" s="43">
        <f>EXP(-SUM(B7:I7)*DeltaT)</f>
        <v>0.96176271642972588</v>
      </c>
      <c r="J15" s="43">
        <f>EXP(-SUM(B7:J7)*DeltaT)</f>
        <v>0.95437466937455018</v>
      </c>
      <c r="K15" s="43">
        <f>EXP(-SUM(B7:K7)*DeltaT)</f>
        <v>0.94685267743894774</v>
      </c>
      <c r="L15" s="43">
        <f>EXP(-SUM(B7:L7)*DeltaT)</f>
        <v>0.93920632447939312</v>
      </c>
      <c r="N15" s="97" t="s">
        <v>139</v>
      </c>
    </row>
    <row r="16" spans="1:14" x14ac:dyDescent="0.15">
      <c r="A16" s="27" t="s">
        <v>11</v>
      </c>
      <c r="B16" s="44"/>
      <c r="C16" s="44">
        <f t="shared" ref="C16:L16" si="0">-LN(C15)/(C14-$B$14)</f>
        <v>6.6626894668953265E-3</v>
      </c>
      <c r="D16" s="44">
        <f t="shared" si="0"/>
        <v>7.3014488135064552E-3</v>
      </c>
      <c r="E16" s="44">
        <f t="shared" si="0"/>
        <v>8.0434468892360365E-3</v>
      </c>
      <c r="F16" s="44">
        <f t="shared" si="0"/>
        <v>8.883034998401311E-3</v>
      </c>
      <c r="G16" s="44">
        <f t="shared" si="0"/>
        <v>9.7413763357967389E-3</v>
      </c>
      <c r="H16" s="44">
        <f t="shared" si="0"/>
        <v>1.0500375772742739E-2</v>
      </c>
      <c r="I16" s="44">
        <f t="shared" si="0"/>
        <v>1.1139290074031151E-2</v>
      </c>
      <c r="J16" s="44">
        <f t="shared" si="0"/>
        <v>1.1674737360170447E-2</v>
      </c>
      <c r="K16" s="44">
        <f t="shared" si="0"/>
        <v>1.2135947898725939E-2</v>
      </c>
      <c r="L16" s="44">
        <f t="shared" si="0"/>
        <v>1.2544019206086266E-2</v>
      </c>
      <c r="N16" s="40"/>
    </row>
    <row r="17" spans="1:14" x14ac:dyDescent="0.15">
      <c r="A17" s="45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  <row r="18" spans="1:14" x14ac:dyDescent="0.15">
      <c r="A18" s="47" t="s">
        <v>6</v>
      </c>
      <c r="B18" s="48"/>
      <c r="C18" s="49">
        <f>0.438883410008077%</f>
        <v>4.3888341000807704E-3</v>
      </c>
      <c r="D18" s="50">
        <f>0.457515097027432%</f>
        <v>4.5751509702743201E-3</v>
      </c>
      <c r="E18" s="50">
        <f>0.499799126972929%</f>
        <v>4.9979912697292904E-3</v>
      </c>
      <c r="F18" s="50">
        <f>0.560174114225901%</f>
        <v>5.6017411422590105E-3</v>
      </c>
      <c r="G18" s="50">
        <f>0.624441525119783%</f>
        <v>6.2444152511978305E-3</v>
      </c>
      <c r="H18" s="50">
        <f>0.684557646043343%</f>
        <v>6.84557646043343E-3</v>
      </c>
      <c r="I18" s="50">
        <f>0.738066572240126%</f>
        <v>7.3806657224012593E-3</v>
      </c>
      <c r="J18" s="50">
        <f>0.784859696997842%</f>
        <v>7.8485969699784199E-3</v>
      </c>
      <c r="K18" s="50">
        <f>0.825818306148742%</f>
        <v>8.2581830614874199E-3</v>
      </c>
      <c r="L18" s="50">
        <f>0.862047260807639%</f>
        <v>8.6204726080763901E-3</v>
      </c>
      <c r="N18" s="35" t="s">
        <v>126</v>
      </c>
    </row>
    <row r="19" spans="1:14" x14ac:dyDescent="0.15">
      <c r="A19" s="47" t="s">
        <v>7</v>
      </c>
      <c r="B19" s="51">
        <v>1</v>
      </c>
      <c r="C19" s="52">
        <f t="shared" ref="C19:L19" si="1">EXP(-C18*(C14-$B$14))</f>
        <v>0.99780798892282996</v>
      </c>
      <c r="D19" s="52">
        <f t="shared" si="1"/>
        <v>0.99543529908998407</v>
      </c>
      <c r="E19" s="52">
        <f t="shared" si="1"/>
        <v>0.9925310454053663</v>
      </c>
      <c r="F19" s="52">
        <f t="shared" si="1"/>
        <v>0.98885904300496896</v>
      </c>
      <c r="G19" s="52">
        <f t="shared" si="1"/>
        <v>0.98451018251460798</v>
      </c>
      <c r="H19" s="52">
        <f t="shared" si="1"/>
        <v>0.97967271304107051</v>
      </c>
      <c r="I19" s="52">
        <f t="shared" si="1"/>
        <v>0.97449847004216217</v>
      </c>
      <c r="J19" s="52">
        <f t="shared" si="1"/>
        <v>0.9690932990472092</v>
      </c>
      <c r="K19" s="52">
        <f t="shared" si="1"/>
        <v>0.96352020225450341</v>
      </c>
      <c r="L19" s="52">
        <f t="shared" si="1"/>
        <v>0.95781334036314547</v>
      </c>
      <c r="N19" s="35" t="s">
        <v>125</v>
      </c>
    </row>
    <row r="20" spans="1:14" x14ac:dyDescent="0.15">
      <c r="A20" s="47" t="s">
        <v>135</v>
      </c>
      <c r="B20" s="53"/>
      <c r="C20" s="49">
        <f>0.449481737979273%</f>
        <v>4.4948173797927302E-3</v>
      </c>
      <c r="D20" s="50">
        <f>0.515754178029321%</f>
        <v>5.1575417802932101E-3</v>
      </c>
      <c r="E20" s="50">
        <f>0.661524004766434%</f>
        <v>6.61524004766434E-3</v>
      </c>
      <c r="F20" s="50">
        <f>0.817519841812957%</f>
        <v>8.1751984181295707E-3</v>
      </c>
      <c r="G20" s="50">
        <f>0.939029752336708%</f>
        <v>9.3902975233670812E-3</v>
      </c>
      <c r="H20" s="50">
        <f>1.0263094083532%</f>
        <v>1.0263094083532001E-2</v>
      </c>
      <c r="I20" s="50">
        <f>1.08848612875938%</f>
        <v>1.0884861287593799E-2</v>
      </c>
      <c r="J20" s="50">
        <f>1.13434117576316%</f>
        <v>1.1343411757631601E-2</v>
      </c>
      <c r="K20" s="50">
        <f>1.17159929459634%</f>
        <v>1.1715992945963401E-2</v>
      </c>
      <c r="L20" s="50">
        <f>1.20404674197109%</f>
        <v>1.2040467419710901E-2</v>
      </c>
      <c r="N20" s="82" t="s">
        <v>136</v>
      </c>
    </row>
    <row r="22" spans="1:14" x14ac:dyDescent="0.15">
      <c r="A22" s="34" t="s">
        <v>131</v>
      </c>
    </row>
    <row r="23" spans="1:14" x14ac:dyDescent="0.15">
      <c r="A23" s="35" t="s">
        <v>97</v>
      </c>
    </row>
    <row r="24" spans="1:14" x14ac:dyDescent="0.15">
      <c r="A24" s="16"/>
      <c r="B24" s="17">
        <v>0</v>
      </c>
      <c r="C24" s="41">
        <v>0.5</v>
      </c>
      <c r="D24" s="41">
        <v>1</v>
      </c>
      <c r="E24" s="41">
        <v>1.5</v>
      </c>
      <c r="F24" s="41">
        <v>2</v>
      </c>
      <c r="G24" s="41">
        <v>2.5</v>
      </c>
      <c r="H24" s="41">
        <v>3</v>
      </c>
      <c r="I24" s="41">
        <v>3.5</v>
      </c>
      <c r="J24" s="41">
        <v>4</v>
      </c>
      <c r="K24" s="41">
        <v>4.5</v>
      </c>
      <c r="L24" s="41">
        <v>5</v>
      </c>
    </row>
    <row r="25" spans="1:14" x14ac:dyDescent="0.15">
      <c r="A25" s="22" t="s">
        <v>3</v>
      </c>
      <c r="B25" s="55"/>
      <c r="C25" s="56">
        <f t="shared" ref="C25:L25" si="2">1/DeltaT*(EXP(SUM(C7)*DeltaT)-1)</f>
        <v>6.6737996584955717E-3</v>
      </c>
      <c r="D25" s="56">
        <f t="shared" si="2"/>
        <v>7.9559907658079965E-3</v>
      </c>
      <c r="E25" s="56">
        <f t="shared" si="2"/>
        <v>9.5501721608193257E-3</v>
      </c>
      <c r="F25" s="56">
        <f t="shared" si="2"/>
        <v>1.143436143122134E-2</v>
      </c>
      <c r="G25" s="56">
        <f t="shared" si="2"/>
        <v>1.3218230580046342E-2</v>
      </c>
      <c r="H25" s="56">
        <f t="shared" si="2"/>
        <v>1.4346584321016653E-2</v>
      </c>
      <c r="I25" s="56">
        <f t="shared" si="2"/>
        <v>1.5028962009028923E-2</v>
      </c>
      <c r="J25" s="56">
        <f t="shared" si="2"/>
        <v>1.548248773202987E-2</v>
      </c>
      <c r="K25" s="56">
        <f t="shared" si="2"/>
        <v>1.5888410340556991E-2</v>
      </c>
      <c r="L25" s="56">
        <f t="shared" si="2"/>
        <v>1.6282584050513194E-2</v>
      </c>
      <c r="N25" s="76" t="s">
        <v>123</v>
      </c>
    </row>
    <row r="27" spans="1:14" x14ac:dyDescent="0.15">
      <c r="A27" s="58" t="s">
        <v>137</v>
      </c>
      <c r="N27" s="35" t="s">
        <v>127</v>
      </c>
    </row>
    <row r="28" spans="1:14" x14ac:dyDescent="0.15">
      <c r="A28" s="57"/>
      <c r="N28" s="35" t="s">
        <v>128</v>
      </c>
    </row>
    <row r="29" spans="1:14" x14ac:dyDescent="0.15">
      <c r="N29" s="35" t="s">
        <v>129</v>
      </c>
    </row>
    <row r="31" spans="1:14" x14ac:dyDescent="0.15">
      <c r="E31" s="35" t="s">
        <v>55</v>
      </c>
      <c r="G31" s="76"/>
    </row>
    <row r="33" spans="1:14" x14ac:dyDescent="0.15">
      <c r="A33" s="29" t="s">
        <v>156</v>
      </c>
    </row>
    <row r="34" spans="1:14" x14ac:dyDescent="0.15">
      <c r="N34" s="82" t="s">
        <v>99</v>
      </c>
    </row>
    <row r="35" spans="1:14" x14ac:dyDescent="0.15">
      <c r="A35" s="58" t="s">
        <v>98</v>
      </c>
    </row>
    <row r="36" spans="1:14" x14ac:dyDescent="0.15">
      <c r="A36" s="22" t="s">
        <v>38</v>
      </c>
      <c r="C36" s="59">
        <f t="shared" ref="C36:L36" si="3">C15/B15</f>
        <v>0.9966741980387489</v>
      </c>
      <c r="D36" s="59">
        <f t="shared" si="3"/>
        <v>0.99603776636420516</v>
      </c>
      <c r="E36" s="59">
        <f t="shared" si="3"/>
        <v>0.9952476070052283</v>
      </c>
      <c r="F36" s="59">
        <f t="shared" si="3"/>
        <v>0.99431531962937858</v>
      </c>
      <c r="G36" s="59">
        <f t="shared" si="3"/>
        <v>0.9934342783215121</v>
      </c>
      <c r="H36" s="59">
        <f t="shared" si="3"/>
        <v>0.99287779747900107</v>
      </c>
      <c r="I36" s="59">
        <f t="shared" si="3"/>
        <v>0.99254156526165038</v>
      </c>
      <c r="J36" s="59">
        <f t="shared" si="3"/>
        <v>0.99231822264580838</v>
      </c>
      <c r="K36" s="59">
        <f t="shared" si="3"/>
        <v>0.99211840781510685</v>
      </c>
      <c r="L36" s="59">
        <f t="shared" si="3"/>
        <v>0.99192445335821777</v>
      </c>
    </row>
    <row r="37" spans="1:14" x14ac:dyDescent="0.15">
      <c r="A37" s="22" t="s">
        <v>3</v>
      </c>
      <c r="C37" s="60">
        <f t="shared" ref="C37:L37" si="4">1/DeltaT*(1/C36-1)</f>
        <v>6.6737996584955717E-3</v>
      </c>
      <c r="D37" s="60">
        <f t="shared" si="4"/>
        <v>7.9559907658079965E-3</v>
      </c>
      <c r="E37" s="60">
        <f t="shared" si="4"/>
        <v>9.5501721608193257E-3</v>
      </c>
      <c r="F37" s="60">
        <f t="shared" si="4"/>
        <v>1.143436143122134E-2</v>
      </c>
      <c r="G37" s="60">
        <f t="shared" si="4"/>
        <v>1.3218230580046342E-2</v>
      </c>
      <c r="H37" s="60">
        <f t="shared" si="4"/>
        <v>1.4346584321016653E-2</v>
      </c>
      <c r="I37" s="60">
        <f t="shared" si="4"/>
        <v>1.5028962009028923E-2</v>
      </c>
      <c r="J37" s="60">
        <f t="shared" si="4"/>
        <v>1.548248773202987E-2</v>
      </c>
      <c r="K37" s="60">
        <f t="shared" si="4"/>
        <v>1.5888410340556991E-2</v>
      </c>
      <c r="L37" s="60">
        <f t="shared" si="4"/>
        <v>1.6282584050513194E-2</v>
      </c>
    </row>
    <row r="38" spans="1:14" x14ac:dyDescent="0.15">
      <c r="A38" s="22"/>
      <c r="C38" s="100"/>
      <c r="D38" s="100"/>
      <c r="E38" s="100"/>
      <c r="F38" s="100"/>
      <c r="G38" s="100"/>
      <c r="H38" s="100"/>
      <c r="I38" s="100"/>
      <c r="J38" s="100"/>
      <c r="K38" s="100"/>
      <c r="L38" s="100"/>
    </row>
    <row r="41" spans="1:14" x14ac:dyDescent="0.15">
      <c r="A41" s="58" t="s">
        <v>138</v>
      </c>
    </row>
    <row r="42" spans="1:14" x14ac:dyDescent="0.15">
      <c r="A42" s="58"/>
      <c r="B42" s="99"/>
      <c r="C42" s="99">
        <f t="shared" ref="C42:L42" si="5">1/(1+DeltaT*C25)</f>
        <v>0.99667419803874879</v>
      </c>
      <c r="D42" s="99">
        <f t="shared" si="5"/>
        <v>0.99603776636420516</v>
      </c>
      <c r="E42" s="99">
        <f t="shared" si="5"/>
        <v>0.9952476070052283</v>
      </c>
      <c r="F42" s="99">
        <f t="shared" si="5"/>
        <v>0.99431531962937869</v>
      </c>
      <c r="G42" s="99">
        <f t="shared" si="5"/>
        <v>0.99343427832151221</v>
      </c>
      <c r="H42" s="99">
        <f t="shared" si="5"/>
        <v>0.99287779747900107</v>
      </c>
      <c r="I42" s="99">
        <f t="shared" si="5"/>
        <v>0.99254156526165027</v>
      </c>
      <c r="J42" s="99">
        <f t="shared" si="5"/>
        <v>0.99231822264580827</v>
      </c>
      <c r="K42" s="99">
        <f t="shared" si="5"/>
        <v>0.99211840781510674</v>
      </c>
      <c r="L42" s="99">
        <f t="shared" si="5"/>
        <v>0.99192445335821777</v>
      </c>
    </row>
    <row r="43" spans="1:14" x14ac:dyDescent="0.15">
      <c r="A43" s="22" t="s">
        <v>119</v>
      </c>
      <c r="B43" s="42">
        <v>1</v>
      </c>
      <c r="C43" s="43">
        <f>1/(1+DeltaT*C25)^(C24/DeltaT)</f>
        <v>0.99667419803874879</v>
      </c>
      <c r="D43" s="43">
        <f>PRODUCT($C$42:D42)</f>
        <v>0.99272514200735085</v>
      </c>
      <c r="E43" s="43">
        <f>PRODUCT($C$42:E42)</f>
        <v>0.98800732199674135</v>
      </c>
      <c r="F43" s="43">
        <f>PRODUCT($C$42:F42)</f>
        <v>0.98239081616735635</v>
      </c>
      <c r="G43" s="43">
        <f>PRODUCT($C$42:G42)</f>
        <v>0.97594071148889905</v>
      </c>
      <c r="H43" s="43">
        <f>PRODUCT($C$42:H42)</f>
        <v>0.96898986409318733</v>
      </c>
      <c r="I43" s="43">
        <f>PRODUCT($C$42:I42)</f>
        <v>0.96176271642972588</v>
      </c>
      <c r="J43" s="43">
        <f>PRODUCT($C$42:J42)</f>
        <v>0.95437466937455007</v>
      </c>
      <c r="K43" s="43">
        <f>PRODUCT($C$42:K42)</f>
        <v>0.94685267743894752</v>
      </c>
      <c r="L43" s="43">
        <f>PRODUCT($C$42:L42)</f>
        <v>0.9392063244793929</v>
      </c>
      <c r="N43" s="97" t="s">
        <v>140</v>
      </c>
    </row>
    <row r="44" spans="1:14" x14ac:dyDescent="0.15">
      <c r="A44" s="38"/>
      <c r="C44" s="98"/>
    </row>
    <row r="45" spans="1:14" x14ac:dyDescent="0.15">
      <c r="A45" s="38"/>
      <c r="C45" s="98"/>
    </row>
    <row r="47" spans="1:14" x14ac:dyDescent="0.15">
      <c r="A47" s="34" t="s">
        <v>117</v>
      </c>
      <c r="N47" s="76" t="s">
        <v>133</v>
      </c>
    </row>
    <row r="48" spans="1:14" x14ac:dyDescent="0.15">
      <c r="A48" s="40" t="s">
        <v>170</v>
      </c>
      <c r="E48" s="76"/>
      <c r="F48" s="76" t="s">
        <v>166</v>
      </c>
      <c r="N48" s="76"/>
    </row>
    <row r="50" spans="1:15" x14ac:dyDescent="0.15">
      <c r="A50" s="35" t="s">
        <v>175</v>
      </c>
      <c r="B50" s="17"/>
      <c r="C50" s="41">
        <v>0.5</v>
      </c>
      <c r="D50" s="41">
        <v>1</v>
      </c>
      <c r="E50" s="41">
        <v>1.5</v>
      </c>
      <c r="F50" s="41">
        <v>2</v>
      </c>
      <c r="G50" s="41">
        <v>2.5</v>
      </c>
      <c r="H50" s="41">
        <v>3</v>
      </c>
      <c r="I50" s="41">
        <v>3.5</v>
      </c>
      <c r="J50" s="41">
        <v>4</v>
      </c>
      <c r="K50" s="41">
        <v>4.5</v>
      </c>
      <c r="L50" s="41">
        <v>5</v>
      </c>
    </row>
    <row r="51" spans="1:15" x14ac:dyDescent="0.15">
      <c r="A51" s="22" t="s">
        <v>161</v>
      </c>
      <c r="B51" s="101">
        <f>AVERAGE(C51:L51)*100*100</f>
        <v>61.099955493618062</v>
      </c>
      <c r="C51" s="107">
        <f t="shared" ref="C51:L51" si="6">C25-C18</f>
        <v>2.2849655584148013E-3</v>
      </c>
      <c r="D51" s="98">
        <f t="shared" si="6"/>
        <v>3.3808397955336763E-3</v>
      </c>
      <c r="E51" s="98">
        <f t="shared" si="6"/>
        <v>4.5521808910900354E-3</v>
      </c>
      <c r="F51" s="98">
        <f t="shared" si="6"/>
        <v>5.8326202889623299E-3</v>
      </c>
      <c r="G51" s="98">
        <f t="shared" si="6"/>
        <v>6.9738153288485113E-3</v>
      </c>
      <c r="H51" s="98">
        <f t="shared" si="6"/>
        <v>7.5010078605832232E-3</v>
      </c>
      <c r="I51" s="98">
        <f t="shared" si="6"/>
        <v>7.6482962866276641E-3</v>
      </c>
      <c r="J51" s="98">
        <f t="shared" si="6"/>
        <v>7.6338907620514505E-3</v>
      </c>
      <c r="K51" s="98">
        <f t="shared" si="6"/>
        <v>7.6302272790695711E-3</v>
      </c>
      <c r="L51" s="107">
        <f t="shared" si="6"/>
        <v>7.6621114424368034E-3</v>
      </c>
      <c r="N51" s="35" t="s">
        <v>168</v>
      </c>
    </row>
    <row r="52" spans="1:15" x14ac:dyDescent="0.15">
      <c r="A52" s="110" t="s">
        <v>162</v>
      </c>
      <c r="B52" s="101">
        <f t="shared" ref="B52:B53" si="7">AVERAGE(C52:L52)*100*100</f>
        <v>35.780660405857574</v>
      </c>
      <c r="C52" s="107">
        <f t="shared" ref="C52:L52" si="8">C25-C20</f>
        <v>2.1789822787028415E-3</v>
      </c>
      <c r="D52" s="98">
        <f t="shared" si="8"/>
        <v>2.7984489855147864E-3</v>
      </c>
      <c r="E52" s="98">
        <f t="shared" si="8"/>
        <v>2.9349321131549857E-3</v>
      </c>
      <c r="F52" s="98">
        <f t="shared" si="8"/>
        <v>3.2591630130917697E-3</v>
      </c>
      <c r="G52" s="98">
        <f t="shared" si="8"/>
        <v>3.8279330566792606E-3</v>
      </c>
      <c r="H52" s="98">
        <f t="shared" si="8"/>
        <v>4.0834902374846521E-3</v>
      </c>
      <c r="I52" s="98">
        <f t="shared" si="8"/>
        <v>4.1441007214351247E-3</v>
      </c>
      <c r="J52" s="98">
        <f t="shared" si="8"/>
        <v>4.1390759743982694E-3</v>
      </c>
      <c r="K52" s="98">
        <f t="shared" si="8"/>
        <v>4.1724173945935899E-3</v>
      </c>
      <c r="L52" s="107">
        <f t="shared" si="8"/>
        <v>4.242116630802293E-3</v>
      </c>
      <c r="N52" s="76" t="s">
        <v>173</v>
      </c>
    </row>
    <row r="53" spans="1:15" x14ac:dyDescent="0.15">
      <c r="A53" s="61" t="s">
        <v>164</v>
      </c>
      <c r="B53" s="101">
        <f t="shared" si="7"/>
        <v>35.359269417183974</v>
      </c>
      <c r="C53" s="107">
        <f>C7-C20</f>
        <v>2.16787208710269E-3</v>
      </c>
      <c r="D53" s="98">
        <f t="shared" ref="D53:L53" si="9">D7-D20</f>
        <v>2.7826663798242897E-3</v>
      </c>
      <c r="E53" s="98">
        <f t="shared" si="9"/>
        <v>2.9122029930308503E-3</v>
      </c>
      <c r="F53" s="98">
        <f t="shared" si="9"/>
        <v>3.2266009077676298E-3</v>
      </c>
      <c r="G53" s="98">
        <f t="shared" si="9"/>
        <v>3.7844441620112183E-3</v>
      </c>
      <c r="H53" s="98">
        <f t="shared" si="9"/>
        <v>4.0322788739407985E-3</v>
      </c>
      <c r="I53" s="98">
        <f t="shared" si="9"/>
        <v>4.0879145941678015E-3</v>
      </c>
      <c r="J53" s="98">
        <f t="shared" si="9"/>
        <v>4.0794566055138998E-3</v>
      </c>
      <c r="K53" s="98">
        <f t="shared" si="9"/>
        <v>4.1096392612064974E-3</v>
      </c>
      <c r="L53" s="107">
        <f t="shared" si="9"/>
        <v>4.1761935526183E-3</v>
      </c>
      <c r="N53" s="76" t="s">
        <v>174</v>
      </c>
    </row>
    <row r="54" spans="1:15" x14ac:dyDescent="0.15">
      <c r="B54" s="108" t="s">
        <v>167</v>
      </c>
    </row>
    <row r="55" spans="1:15" x14ac:dyDescent="0.15">
      <c r="B55" s="108"/>
    </row>
    <row r="56" spans="1:15" x14ac:dyDescent="0.15">
      <c r="A56" s="109" t="s">
        <v>163</v>
      </c>
      <c r="B56" s="35" t="s">
        <v>144</v>
      </c>
      <c r="C56" s="101">
        <f>AVERAGE(C52:L52)*100*100</f>
        <v>35.780660405857574</v>
      </c>
      <c r="D56" s="35" t="s">
        <v>143</v>
      </c>
      <c r="E56" s="105"/>
      <c r="G56" s="97" t="s">
        <v>165</v>
      </c>
      <c r="I56" s="101">
        <f>AVERAGE(C53:L53)*100*100</f>
        <v>35.359269417183974</v>
      </c>
      <c r="J56" s="35" t="str">
        <f>D56</f>
        <v>bps</v>
      </c>
      <c r="N56" s="35" t="s">
        <v>172</v>
      </c>
    </row>
    <row r="58" spans="1:15" x14ac:dyDescent="0.15">
      <c r="A58" s="34" t="s">
        <v>118</v>
      </c>
    </row>
    <row r="59" spans="1:15" x14ac:dyDescent="0.15">
      <c r="A59" s="35" t="s">
        <v>153</v>
      </c>
    </row>
    <row r="60" spans="1:15" x14ac:dyDescent="0.15">
      <c r="A60" s="38" t="s">
        <v>169</v>
      </c>
      <c r="B60" s="39"/>
      <c r="C60" s="80">
        <v>6.6059707426540503E-3</v>
      </c>
      <c r="D60" s="80">
        <v>9.3994228239273007E-3</v>
      </c>
      <c r="E60" s="80">
        <v>1.23082351585621E-2</v>
      </c>
      <c r="F60" s="80">
        <v>1.50329861774781E-2</v>
      </c>
      <c r="G60" s="80">
        <v>1.7229461164936899E-2</v>
      </c>
      <c r="H60" s="80">
        <v>1.8608454401474999E-2</v>
      </c>
      <c r="I60" s="80">
        <v>1.9459045030065E-2</v>
      </c>
      <c r="J60" s="80">
        <v>2.0012360950366299E-2</v>
      </c>
      <c r="K60" s="80">
        <v>2.0452877999277402E-2</v>
      </c>
      <c r="L60" s="80">
        <v>2.0835859604998199E-2</v>
      </c>
      <c r="N60" s="35" t="s">
        <v>142</v>
      </c>
      <c r="O60" s="82" t="s">
        <v>147</v>
      </c>
    </row>
    <row r="61" spans="1:15" x14ac:dyDescent="0.15">
      <c r="A61" s="22" t="s">
        <v>141</v>
      </c>
      <c r="B61" s="55"/>
      <c r="C61" s="56">
        <f t="shared" ref="C61:L61" si="10">1/DeltaT*(EXP(SUM(C60)*DeltaT)-1)</f>
        <v>6.6168924764822279E-3</v>
      </c>
      <c r="D61" s="56">
        <f t="shared" si="10"/>
        <v>9.4215447532675078E-3</v>
      </c>
      <c r="E61" s="56">
        <f t="shared" si="10"/>
        <v>1.2346186133386894E-2</v>
      </c>
      <c r="F61" s="56">
        <f t="shared" si="10"/>
        <v>1.5089625667008111E-2</v>
      </c>
      <c r="G61" s="56">
        <f t="shared" si="10"/>
        <v>1.7303888317716343E-2</v>
      </c>
      <c r="H61" s="56">
        <f t="shared" si="10"/>
        <v>1.8695292155729515E-2</v>
      </c>
      <c r="I61" s="56">
        <f t="shared" si="10"/>
        <v>1.9554016397227425E-2</v>
      </c>
      <c r="J61" s="56">
        <f t="shared" si="10"/>
        <v>2.0112819386901126E-2</v>
      </c>
      <c r="K61" s="56">
        <f t="shared" si="10"/>
        <v>2.055781546102331E-2</v>
      </c>
      <c r="L61" s="56">
        <f t="shared" si="10"/>
        <v>2.094477074733847E-2</v>
      </c>
      <c r="N61" s="35" t="s">
        <v>151</v>
      </c>
    </row>
    <row r="63" spans="1:15" x14ac:dyDescent="0.15">
      <c r="A63" s="35" t="s">
        <v>171</v>
      </c>
    </row>
    <row r="65" spans="1:15" x14ac:dyDescent="0.15">
      <c r="A65" s="61" t="s">
        <v>145</v>
      </c>
      <c r="C65" s="102">
        <f t="shared" ref="C65:L65" si="11">C61-OIS_Spread/10000</f>
        <v>3.0388264358964705E-3</v>
      </c>
      <c r="D65" s="102">
        <f t="shared" si="11"/>
        <v>5.8434787126817505E-3</v>
      </c>
      <c r="E65" s="102">
        <f t="shared" si="11"/>
        <v>8.7681200928011356E-3</v>
      </c>
      <c r="F65" s="102">
        <f t="shared" si="11"/>
        <v>1.1511559626422353E-2</v>
      </c>
      <c r="G65" s="102">
        <f t="shared" si="11"/>
        <v>1.3725822277130584E-2</v>
      </c>
      <c r="H65" s="102">
        <f t="shared" si="11"/>
        <v>1.5117226115143757E-2</v>
      </c>
      <c r="I65" s="102">
        <f t="shared" si="11"/>
        <v>1.5975950356641667E-2</v>
      </c>
      <c r="J65" s="102">
        <f t="shared" si="11"/>
        <v>1.6534753346315368E-2</v>
      </c>
      <c r="K65" s="102">
        <f t="shared" si="11"/>
        <v>1.6979749420437552E-2</v>
      </c>
      <c r="L65" s="102">
        <f t="shared" si="11"/>
        <v>1.7366704706752712E-2</v>
      </c>
      <c r="N65" s="35" t="s">
        <v>160</v>
      </c>
    </row>
    <row r="67" spans="1:15" x14ac:dyDescent="0.15">
      <c r="A67" s="35" t="s">
        <v>157</v>
      </c>
    </row>
    <row r="68" spans="1:15" x14ac:dyDescent="0.15">
      <c r="A68" s="47" t="s">
        <v>135</v>
      </c>
      <c r="C68" s="103">
        <v>4.6253848312442702E-3</v>
      </c>
      <c r="D68" s="103">
        <f>0.6812859243962%</f>
        <v>6.8128592439619991E-3</v>
      </c>
      <c r="E68" s="103">
        <f>0.96063290097297%</f>
        <v>9.6063290097296999E-3</v>
      </c>
      <c r="F68" s="103">
        <f>1.20405771510905%</f>
        <v>1.20405771510905E-2</v>
      </c>
      <c r="G68" s="103">
        <f>1.38986383731985%</f>
        <v>1.3898638373198499E-2</v>
      </c>
      <c r="H68" s="103">
        <f>1.52516338025035%</f>
        <v>1.52516338025035E-2</v>
      </c>
      <c r="I68" s="103">
        <f>1.62127759882327%</f>
        <v>1.6212775988232699E-2</v>
      </c>
      <c r="J68" s="103">
        <f>1.68995219319788%</f>
        <v>1.68995219319788E-2</v>
      </c>
      <c r="K68" s="103">
        <f>1.74201407770373%</f>
        <v>1.74201407770373E-2</v>
      </c>
      <c r="L68" s="103">
        <f>1.78411547900401%</f>
        <v>1.7841154790040101E-2</v>
      </c>
      <c r="N68" s="35" t="s">
        <v>159</v>
      </c>
      <c r="O68" s="82" t="s">
        <v>148</v>
      </c>
    </row>
    <row r="70" spans="1:15" x14ac:dyDescent="0.15">
      <c r="A70" s="61" t="s">
        <v>149</v>
      </c>
      <c r="B70" s="35" t="s">
        <v>143</v>
      </c>
      <c r="C70" s="101">
        <f t="shared" ref="C70:L70" si="12">(C68-C65)*10000</f>
        <v>15.865583953477998</v>
      </c>
      <c r="D70" s="101">
        <f t="shared" si="12"/>
        <v>9.6938053128024873</v>
      </c>
      <c r="E70" s="101">
        <f t="shared" si="12"/>
        <v>8.3820891692856438</v>
      </c>
      <c r="F70" s="101">
        <f t="shared" si="12"/>
        <v>5.2901752466814713</v>
      </c>
      <c r="G70" s="101">
        <f t="shared" si="12"/>
        <v>1.7281609606791501</v>
      </c>
      <c r="H70" s="101">
        <f t="shared" si="12"/>
        <v>1.3440768735974336</v>
      </c>
      <c r="I70" s="101">
        <f t="shared" si="12"/>
        <v>2.3682563159103247</v>
      </c>
      <c r="J70" s="101">
        <f t="shared" si="12"/>
        <v>3.6476858566343235</v>
      </c>
      <c r="K70" s="101">
        <f t="shared" si="12"/>
        <v>4.4039135659974802</v>
      </c>
      <c r="L70" s="101">
        <f t="shared" si="12"/>
        <v>4.7445008328738867</v>
      </c>
    </row>
    <row r="71" spans="1:15" x14ac:dyDescent="0.15">
      <c r="A71" s="61" t="s">
        <v>150</v>
      </c>
      <c r="B71" s="35" t="s">
        <v>143</v>
      </c>
      <c r="C71" s="101">
        <f>AVERAGE(C70:L70)</f>
        <v>5.7468248087940186</v>
      </c>
      <c r="D71" s="106"/>
    </row>
    <row r="73" spans="1:15" x14ac:dyDescent="0.15">
      <c r="A73" s="104" t="s">
        <v>154</v>
      </c>
    </row>
    <row r="74" spans="1:15" x14ac:dyDescent="0.15">
      <c r="A74" s="76" t="s">
        <v>155</v>
      </c>
    </row>
    <row r="75" spans="1:15" x14ac:dyDescent="0.15">
      <c r="A75" s="76" t="s">
        <v>158</v>
      </c>
    </row>
    <row r="76" spans="1:15" x14ac:dyDescent="0.15">
      <c r="A76" s="76" t="s">
        <v>177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U61"/>
  <sheetViews>
    <sheetView topLeftCell="A9" zoomScale="110" zoomScaleNormal="110" zoomScalePageLayoutView="110" workbookViewId="0"/>
  </sheetViews>
  <sheetFormatPr baseColWidth="10" defaultColWidth="11.5" defaultRowHeight="12" x14ac:dyDescent="0.15"/>
  <cols>
    <col min="1" max="1" width="17.5" style="70" customWidth="1"/>
    <col min="2" max="3" width="11.83203125" style="70" bestFit="1" customWidth="1"/>
    <col min="4" max="4" width="12.83203125" style="70" bestFit="1" customWidth="1"/>
    <col min="5" max="19" width="11.83203125" style="70" bestFit="1" customWidth="1"/>
    <col min="20" max="16384" width="11.5" style="70"/>
  </cols>
  <sheetData>
    <row r="1" spans="1:21" s="10" customFormat="1" ht="15" x14ac:dyDescent="0.2">
      <c r="A1" s="71" t="s">
        <v>2</v>
      </c>
      <c r="D1" s="24">
        <f>1/12</f>
        <v>8.3333333333333329E-2</v>
      </c>
      <c r="E1" s="10" t="s">
        <v>1</v>
      </c>
      <c r="H1" s="10" t="s">
        <v>19</v>
      </c>
    </row>
    <row r="2" spans="1:21" s="10" customFormat="1" x14ac:dyDescent="0.15">
      <c r="A2" s="63"/>
      <c r="D2" s="24"/>
    </row>
    <row r="3" spans="1:21" s="10" customFormat="1" x14ac:dyDescent="0.15">
      <c r="A3" s="11" t="s">
        <v>70</v>
      </c>
    </row>
    <row r="4" spans="1:21" s="10" customFormat="1" x14ac:dyDescent="0.15">
      <c r="A4" s="29" t="s">
        <v>68</v>
      </c>
    </row>
    <row r="5" spans="1:21" s="10" customFormat="1" x14ac:dyDescent="0.15">
      <c r="A5" s="29" t="s">
        <v>69</v>
      </c>
    </row>
    <row r="6" spans="1:21" s="10" customFormat="1" x14ac:dyDescent="0.15"/>
    <row r="7" spans="1:21" s="10" customFormat="1" x14ac:dyDescent="0.15">
      <c r="A7" s="64" t="s">
        <v>17</v>
      </c>
    </row>
    <row r="8" spans="1:21" s="10" customFormat="1" x14ac:dyDescent="0.15">
      <c r="A8" s="10" t="s">
        <v>72</v>
      </c>
    </row>
    <row r="9" spans="1:21" s="10" customFormat="1" x14ac:dyDescent="0.15">
      <c r="B9" s="65" t="s">
        <v>21</v>
      </c>
      <c r="C9" s="65" t="s">
        <v>23</v>
      </c>
      <c r="D9" s="65" t="s">
        <v>30</v>
      </c>
      <c r="E9" s="65" t="s">
        <v>30</v>
      </c>
      <c r="F9" s="65" t="s">
        <v>30</v>
      </c>
      <c r="G9" s="65" t="s">
        <v>22</v>
      </c>
    </row>
    <row r="10" spans="1:21" s="15" customFormat="1" x14ac:dyDescent="0.15">
      <c r="A10" s="14" t="s">
        <v>16</v>
      </c>
      <c r="B10" s="15">
        <v>1</v>
      </c>
      <c r="C10" s="15">
        <v>2</v>
      </c>
      <c r="D10" s="15">
        <v>3</v>
      </c>
      <c r="E10" s="15">
        <v>4</v>
      </c>
      <c r="F10" s="15">
        <v>5</v>
      </c>
      <c r="G10" s="15">
        <v>6</v>
      </c>
      <c r="H10" s="15">
        <v>7</v>
      </c>
      <c r="I10" s="15">
        <v>8</v>
      </c>
      <c r="J10" s="15">
        <v>9</v>
      </c>
      <c r="K10" s="15">
        <v>10</v>
      </c>
      <c r="L10" s="15">
        <v>11</v>
      </c>
      <c r="M10" s="15">
        <v>12</v>
      </c>
      <c r="N10" s="15">
        <v>13</v>
      </c>
      <c r="O10" s="15">
        <v>14</v>
      </c>
      <c r="P10" s="15">
        <v>15</v>
      </c>
      <c r="Q10" s="15">
        <v>16</v>
      </c>
      <c r="R10" s="15">
        <v>17</v>
      </c>
      <c r="S10" s="15">
        <v>18</v>
      </c>
    </row>
    <row r="11" spans="1:21" s="19" customFormat="1" x14ac:dyDescent="0.15">
      <c r="A11" s="16" t="s">
        <v>5</v>
      </c>
      <c r="B11" s="17">
        <v>8.3333329999999997E-2</v>
      </c>
      <c r="C11" s="17">
        <v>0.16666665999999999</v>
      </c>
      <c r="D11" s="17">
        <v>0.24999999000000001</v>
      </c>
      <c r="E11" s="17">
        <v>0.33333331999999999</v>
      </c>
      <c r="F11" s="17">
        <v>0.41666664999999997</v>
      </c>
      <c r="G11" s="17">
        <v>0.49999997999999996</v>
      </c>
      <c r="H11" s="17">
        <v>0.58333330999999999</v>
      </c>
      <c r="I11" s="17">
        <v>0.66666663999999998</v>
      </c>
      <c r="J11" s="17">
        <v>0.74999996999999996</v>
      </c>
      <c r="K11" s="17">
        <v>0.83333329999999994</v>
      </c>
      <c r="L11" s="17">
        <v>0.91666662999999993</v>
      </c>
      <c r="M11" s="18">
        <v>0.99999995999999991</v>
      </c>
      <c r="N11" s="18">
        <v>1.0833332899999999</v>
      </c>
      <c r="O11" s="18">
        <v>1.16666662</v>
      </c>
      <c r="P11" s="18">
        <v>1.2499999500000001</v>
      </c>
      <c r="Q11" s="18">
        <v>1.3333332800000002</v>
      </c>
      <c r="R11" s="18">
        <v>1.4166666100000003</v>
      </c>
      <c r="S11" s="18">
        <v>1.4999999400000004</v>
      </c>
    </row>
    <row r="12" spans="1:21" s="10" customFormat="1" x14ac:dyDescent="0.15">
      <c r="A12" s="20" t="s">
        <v>24</v>
      </c>
      <c r="B12" s="96">
        <v>5.05168145270394E-3</v>
      </c>
      <c r="C12" s="94">
        <f>(C11-$B$11)/($G$11-$B$11)*r_6M+($G$11-C11)/($G$11-$B$11)*r_1M</f>
        <v>5.2375746821890917E-3</v>
      </c>
      <c r="D12" s="94">
        <f>(D11-$B$11)/($G$11-$B$11)*r_6M+($G$11-D11)/($G$11-$B$11)*r_1M</f>
        <v>5.4234679116742443E-3</v>
      </c>
      <c r="E12" s="94">
        <f>(E11-$B$11)/($G$11-$B$11)*r_6M+($G$11-E11)/($G$11-$B$11)*r_1M</f>
        <v>5.6093611411593969E-3</v>
      </c>
      <c r="F12" s="94">
        <f>(F11-$B$11)/($G$11-$B$11)*r_6M+($G$11-F11)/($G$11-$B$11)*r_1M</f>
        <v>5.7952543706445486E-3</v>
      </c>
      <c r="G12" s="96">
        <v>5.9811476001297003E-3</v>
      </c>
      <c r="H12" s="94">
        <f>(H11-$G$11)/($M$11-$G$11)*r_12M+($M$11-H11)/($M$11-$G$11)*r_6M</f>
        <v>6.0695859290695597E-3</v>
      </c>
      <c r="I12" s="94">
        <f>(I11-$G$11)/($M$11-$G$11)*r_12M+($M$11-I11)/($M$11-$G$11)*r_6M</f>
        <v>6.1580242580094209E-3</v>
      </c>
      <c r="J12" s="94">
        <f>(J11-$G$11)/($M$11-$G$11)*r_12M+($M$11-J11)/($M$11-$G$11)*r_6M</f>
        <v>6.2464625869492803E-3</v>
      </c>
      <c r="K12" s="94">
        <f>(K11-$G$11)/($M$11-$G$11)*r_12M+($M$11-K11)/($M$11-$G$11)*r_6M</f>
        <v>6.3349009158891407E-3</v>
      </c>
      <c r="L12" s="94">
        <f>(L11-$G$11)/($M$11-$G$11)*r_12M+($M$11-L11)/($M$11-$G$11)*r_6M</f>
        <v>6.423339244829001E-3</v>
      </c>
      <c r="M12" s="96">
        <v>6.5117775737688604E-3</v>
      </c>
      <c r="N12" s="94">
        <f>(N11-$M$11)/($S$11-$M$11)*r_18M+($S$11-N11)/($S$11-$M$11)*r_12M</f>
        <v>6.6392960906954158E-3</v>
      </c>
      <c r="O12" s="94">
        <f>(O11-$M$11)/($S$11-$M$11)*r_18M+($S$11-O11)/($S$11-$M$11)*r_12M</f>
        <v>6.7668146076219739E-3</v>
      </c>
      <c r="P12" s="94">
        <f>(P11-$M$11)/($S$11-$M$11)*r_18M+($S$11-P11)/($S$11-$M$11)*r_12M</f>
        <v>6.8943331245485302E-3</v>
      </c>
      <c r="Q12" s="94">
        <f>(Q11-$M$11)/($S$11-$M$11)*r_18M+($S$11-Q11)/($S$11-$M$11)*r_12M</f>
        <v>7.0218516414750874E-3</v>
      </c>
      <c r="R12" s="94">
        <f>(R11-$M$11)/($S$11-$M$11)*r_18M+($S$11-R11)/($S$11-$M$11)*r_12M</f>
        <v>7.1493701584016429E-3</v>
      </c>
      <c r="S12" s="96">
        <v>7.2768886753282001E-3</v>
      </c>
    </row>
    <row r="13" spans="1:21" s="10" customFormat="1" x14ac:dyDescent="0.15">
      <c r="A13" s="20" t="s">
        <v>26</v>
      </c>
      <c r="B13" s="96"/>
      <c r="C13" s="94">
        <f>(2*C11-$B$11)/($G$11-$B$11)*r_6M+($G$11-2*C11)/($G$11-$B$11)*r_1M</f>
        <v>5.6093611411593969E-3</v>
      </c>
      <c r="D13" s="94">
        <f>(2*D11-$B$11)/($G$11-$B$11)*r_6M+($G$11-2*D11)/($G$11-$B$11)*r_1M</f>
        <v>5.9811476001297012E-3</v>
      </c>
      <c r="E13" s="94">
        <f>(2*E11-$B$11)/($G$11-$B$11)*r_6M+($G$11-2*E11)/($G$11-$B$11)*r_1M</f>
        <v>6.3529340591000055E-3</v>
      </c>
      <c r="F13" s="94">
        <f>(2*F11-$B$11)/($G$11-$B$11)*r_6M+($G$11-2*F11)/($G$11-$B$11)*r_1M</f>
        <v>6.7247205180703097E-3</v>
      </c>
      <c r="G13" s="96"/>
      <c r="H13" s="94">
        <f>(2*H11-$G$11)/($M$11-$G$11)*r_12M+($M$11-2*H11)/($M$11-$G$11)*r_6M</f>
        <v>6.688654231648581E-3</v>
      </c>
      <c r="I13" s="94">
        <f>(2*I11-$G$11)/($M$11-$G$11)*r_12M+($M$11-2*I11)/($M$11-$G$11)*r_6M</f>
        <v>6.8655308895283007E-3</v>
      </c>
      <c r="J13" s="94">
        <f>(2*J11-$G$11)/($M$11-$G$11)*r_12M+($M$11-2*J11)/($M$11-$G$11)*r_6M</f>
        <v>7.0424075474080205E-3</v>
      </c>
      <c r="K13" s="94">
        <f>(2*K11-$G$11)/($M$11-$G$11)*r_12M+($M$11-2*K11)/($M$11-$G$11)*r_6M</f>
        <v>7.2192842052877394E-3</v>
      </c>
      <c r="L13" s="94">
        <f>(2*L11-$G$11)/($M$11-$G$11)*r_12M+($M$11-2*L11)/($M$11-$G$11)*r_6M</f>
        <v>7.3961608631674617E-3</v>
      </c>
      <c r="M13" s="96"/>
      <c r="N13" s="94">
        <f>(2*N11-$M$11)/($S$11-$M$11)*r_18M+($S$11-2*N11)/($S$11-$M$11)*r_12M</f>
        <v>8.2970368107406524E-3</v>
      </c>
      <c r="O13" s="94">
        <f>(2*O11-$M$11)/($S$11-$M$11)*r_18M+($S$11-2*O11)/($S$11-$M$11)*r_12M</f>
        <v>8.5520738445937685E-3</v>
      </c>
      <c r="P13" s="94">
        <f>(2*P11-$M$11)/($S$11-$M$11)*r_18M+($S$11-2*P11)/($S$11-$M$11)*r_12M</f>
        <v>8.8071108784468811E-3</v>
      </c>
      <c r="Q13" s="94">
        <f>(2*Q11-$M$11)/($S$11-$M$11)*r_18M+($S$11-2*Q11)/($S$11-$M$11)*r_12M</f>
        <v>9.0621479122999921E-3</v>
      </c>
      <c r="R13" s="94">
        <f>(2*R11-$M$11)/($S$11-$M$11)*r_18M+($S$11-2*R11)/($S$11-$M$11)*r_12M</f>
        <v>9.317184946153103E-3</v>
      </c>
      <c r="S13" s="96"/>
      <c r="U13" s="11" t="s">
        <v>32</v>
      </c>
    </row>
    <row r="14" spans="1:21" s="10" customFormat="1" x14ac:dyDescent="0.15">
      <c r="A14" s="21"/>
      <c r="S14" s="24"/>
    </row>
    <row r="15" spans="1:21" s="10" customFormat="1" x14ac:dyDescent="0.15">
      <c r="A15" s="29" t="s">
        <v>73</v>
      </c>
      <c r="S15" s="24"/>
    </row>
    <row r="16" spans="1:21" s="10" customFormat="1" x14ac:dyDescent="0.15">
      <c r="A16" s="29" t="s">
        <v>20</v>
      </c>
    </row>
    <row r="17" spans="1:19" s="10" customFormat="1" x14ac:dyDescent="0.15">
      <c r="A17" s="29" t="s">
        <v>27</v>
      </c>
    </row>
    <row r="18" spans="1:19" s="10" customFormat="1" x14ac:dyDescent="0.15"/>
    <row r="19" spans="1:19" s="10" customFormat="1" x14ac:dyDescent="0.15">
      <c r="A19" s="64" t="s">
        <v>74</v>
      </c>
    </row>
    <row r="20" spans="1:19" s="10" customFormat="1" x14ac:dyDescent="0.15">
      <c r="A20" s="10" t="s">
        <v>18</v>
      </c>
    </row>
    <row r="21" spans="1:19" s="10" customFormat="1" x14ac:dyDescent="0.15"/>
    <row r="22" spans="1:19" s="10" customFormat="1" x14ac:dyDescent="0.15">
      <c r="A22" s="20" t="s">
        <v>39</v>
      </c>
      <c r="B22" s="66">
        <v>5.05168145270394E-3</v>
      </c>
      <c r="C22" s="66">
        <v>5.2948146301570204E-3</v>
      </c>
      <c r="D22" s="66">
        <v>5.5002925020481101E-3</v>
      </c>
      <c r="E22" s="66">
        <v>5.6817815208527701E-3</v>
      </c>
      <c r="F22" s="66">
        <v>5.8471700134028999E-3</v>
      </c>
      <c r="G22" s="66">
        <v>5.9811475728680204E-3</v>
      </c>
      <c r="H22" s="66">
        <v>6.0768350550297499E-3</v>
      </c>
      <c r="I22" s="66">
        <v>6.15074398491038E-3</v>
      </c>
      <c r="J22" s="66">
        <v>6.2218007756872397E-3</v>
      </c>
      <c r="K22" s="66">
        <v>6.3024314110683996E-3</v>
      </c>
      <c r="L22" s="66">
        <v>6.3991952895641599E-3</v>
      </c>
      <c r="M22" s="66">
        <v>6.5117775737688604E-3</v>
      </c>
      <c r="N22" s="66">
        <v>6.6353517546286897E-3</v>
      </c>
      <c r="O22" s="66">
        <v>6.7644696505689298E-3</v>
      </c>
      <c r="P22" s="66">
        <v>6.8948614547005996E-3</v>
      </c>
      <c r="Q22" s="66">
        <v>7.0240978590340401E-3</v>
      </c>
      <c r="R22" s="66">
        <v>7.1513378473988401E-3</v>
      </c>
      <c r="S22" s="66">
        <v>7.2768886753282001E-3</v>
      </c>
    </row>
    <row r="23" spans="1:19" s="69" customFormat="1" x14ac:dyDescent="0.15">
      <c r="A23" s="67" t="s">
        <v>25</v>
      </c>
      <c r="B23" s="68">
        <v>5.3164145375214997E-3</v>
      </c>
      <c r="C23" s="68">
        <v>5.7421339373991496E-3</v>
      </c>
      <c r="D23" s="68">
        <v>6.0710613829621403E-3</v>
      </c>
      <c r="E23" s="68">
        <v>6.3783454829178599E-3</v>
      </c>
      <c r="F23" s="68">
        <v>6.6132828188437904E-3</v>
      </c>
      <c r="G23" s="68">
        <v>6.6626894705942297E-3</v>
      </c>
      <c r="H23" s="68">
        <v>6.6435318594059902E-3</v>
      </c>
      <c r="I23" s="68">
        <v>6.7102049611327003E-3</v>
      </c>
      <c r="J23" s="68">
        <v>6.8901365664095398E-3</v>
      </c>
      <c r="K23" s="68">
        <v>7.1835909986948197E-3</v>
      </c>
      <c r="L23" s="68">
        <v>7.5572227998350599E-3</v>
      </c>
      <c r="M23" s="68">
        <v>7.9402079822609994E-3</v>
      </c>
      <c r="N23" s="68">
        <v>8.2887208464519808E-3</v>
      </c>
      <c r="O23" s="68">
        <v>8.5889398603041702E-3</v>
      </c>
      <c r="P23" s="68">
        <v>8.8459009552536803E-3</v>
      </c>
      <c r="Q23" s="68">
        <v>9.0764267396317207E-3</v>
      </c>
      <c r="R23" s="68">
        <v>9.2978549035108507E-3</v>
      </c>
      <c r="S23" s="68">
        <v>9.5274428683296691E-3</v>
      </c>
    </row>
    <row r="48" spans="1:1" x14ac:dyDescent="0.15">
      <c r="A48" s="29" t="s">
        <v>75</v>
      </c>
    </row>
    <row r="50" spans="1:19" x14ac:dyDescent="0.15">
      <c r="H50" s="29" t="s">
        <v>76</v>
      </c>
    </row>
    <row r="53" spans="1:19" x14ac:dyDescent="0.15">
      <c r="A53" s="64" t="s">
        <v>90</v>
      </c>
    </row>
    <row r="54" spans="1:19" s="19" customFormat="1" x14ac:dyDescent="0.15">
      <c r="A54" s="16" t="s">
        <v>5</v>
      </c>
      <c r="B54" s="17">
        <v>8.3333329999999997E-2</v>
      </c>
      <c r="C54" s="17">
        <v>0.16666665999999999</v>
      </c>
      <c r="D54" s="17">
        <v>0.24999999000000001</v>
      </c>
      <c r="E54" s="17">
        <v>0.33333331999999999</v>
      </c>
      <c r="F54" s="17">
        <v>0.41666664999999997</v>
      </c>
      <c r="G54" s="17">
        <v>0.49999997999999996</v>
      </c>
      <c r="H54" s="17">
        <v>0.58333330999999999</v>
      </c>
      <c r="I54" s="17">
        <v>0.66666663999999998</v>
      </c>
      <c r="J54" s="17">
        <v>0.74999996999999996</v>
      </c>
      <c r="K54" s="17">
        <v>0.83333329999999994</v>
      </c>
      <c r="L54" s="17">
        <v>0.91666662999999993</v>
      </c>
      <c r="M54" s="18">
        <v>0.99999995999999991</v>
      </c>
      <c r="N54" s="18">
        <v>1.0833332899999999</v>
      </c>
      <c r="O54" s="18">
        <v>1.16666662</v>
      </c>
      <c r="P54" s="18">
        <v>1.2499999500000001</v>
      </c>
      <c r="Q54" s="18">
        <v>1.3333332800000002</v>
      </c>
      <c r="R54" s="18">
        <v>1.4166666100000003</v>
      </c>
      <c r="S54" s="18">
        <v>1.4999999400000004</v>
      </c>
    </row>
    <row r="55" spans="1:19" s="10" customFormat="1" x14ac:dyDescent="0.15">
      <c r="A55" s="20" t="s">
        <v>89</v>
      </c>
      <c r="B55" s="96">
        <v>5.05168145270394E-3</v>
      </c>
      <c r="C55" s="94"/>
      <c r="D55" s="94"/>
      <c r="E55" s="94"/>
      <c r="F55" s="94"/>
      <c r="G55" s="96">
        <v>5.9811476001297003E-3</v>
      </c>
      <c r="H55" s="94"/>
      <c r="I55" s="94"/>
      <c r="J55" s="94"/>
      <c r="K55" s="94"/>
      <c r="L55" s="94"/>
      <c r="M55" s="96">
        <v>6.5117775737688604E-3</v>
      </c>
      <c r="N55" s="94"/>
      <c r="O55" s="94"/>
      <c r="P55" s="94"/>
      <c r="Q55" s="94"/>
      <c r="R55" s="94"/>
      <c r="S55" s="96">
        <v>7.2768886753282001E-3</v>
      </c>
    </row>
    <row r="56" spans="1:19" x14ac:dyDescent="0.15">
      <c r="A56" s="20" t="s">
        <v>24</v>
      </c>
      <c r="B56" s="96">
        <f t="array" ref="B56:S56">Interpolate(B54:S54, B55:S55, S10)</f>
        <v>5.05168145270394E-3</v>
      </c>
      <c r="C56" s="94">
        <v>5.2375746821890917E-3</v>
      </c>
      <c r="D56" s="94">
        <v>5.4234679116742443E-3</v>
      </c>
      <c r="E56" s="94">
        <v>5.609361141159396E-3</v>
      </c>
      <c r="F56" s="94">
        <v>5.7952543706445486E-3</v>
      </c>
      <c r="G56" s="96">
        <v>5.9811476001297003E-3</v>
      </c>
      <c r="H56" s="94">
        <v>6.0695859290695606E-3</v>
      </c>
      <c r="I56" s="94">
        <v>6.15802425800942E-3</v>
      </c>
      <c r="J56" s="94">
        <v>6.2464625869492803E-3</v>
      </c>
      <c r="K56" s="94">
        <v>6.3349009158891407E-3</v>
      </c>
      <c r="L56" s="94">
        <v>6.4233392448290001E-3</v>
      </c>
      <c r="M56" s="96">
        <v>6.5117775737688604E-3</v>
      </c>
      <c r="N56" s="94">
        <v>6.6392960906954167E-3</v>
      </c>
      <c r="O56" s="94">
        <v>6.7668146076219739E-3</v>
      </c>
      <c r="P56" s="94">
        <v>6.8943331245485302E-3</v>
      </c>
      <c r="Q56" s="94">
        <v>7.0218516414750866E-3</v>
      </c>
      <c r="R56" s="94">
        <v>7.1493701584016437E-3</v>
      </c>
      <c r="S56" s="96">
        <v>7.2768886753282001E-3</v>
      </c>
    </row>
    <row r="59" spans="1:19" x14ac:dyDescent="0.15">
      <c r="A59" s="64" t="s">
        <v>88</v>
      </c>
    </row>
    <row r="60" spans="1:19" x14ac:dyDescent="0.15">
      <c r="A60" s="29" t="s">
        <v>91</v>
      </c>
    </row>
    <row r="61" spans="1:19" x14ac:dyDescent="0.15">
      <c r="A61" s="29" t="s">
        <v>92</v>
      </c>
    </row>
  </sheetData>
  <pageMargins left="0.75" right="0.75" top="1" bottom="1" header="0.5" footer="0.5"/>
  <pageSetup paperSize="9" orientation="portrait" horizontalDpi="4294967292" verticalDpi="429496729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33"/>
  <sheetViews>
    <sheetView zoomScale="110" zoomScaleNormal="110" zoomScalePageLayoutView="110" workbookViewId="0"/>
  </sheetViews>
  <sheetFormatPr baseColWidth="10" defaultColWidth="11.5" defaultRowHeight="12" x14ac:dyDescent="0.15"/>
  <cols>
    <col min="1" max="1" width="4.33203125" style="70" customWidth="1"/>
    <col min="2" max="16384" width="11.5" style="70"/>
  </cols>
  <sheetData>
    <row r="1" spans="1:2" ht="15" x14ac:dyDescent="0.2">
      <c r="A1" s="72" t="s">
        <v>0</v>
      </c>
    </row>
    <row r="2" spans="1:2" x14ac:dyDescent="0.15">
      <c r="A2" s="73"/>
    </row>
    <row r="3" spans="1:2" x14ac:dyDescent="0.15">
      <c r="A3" s="74" t="s">
        <v>28</v>
      </c>
    </row>
    <row r="4" spans="1:2" x14ac:dyDescent="0.15">
      <c r="A4" s="75" t="s">
        <v>77</v>
      </c>
    </row>
    <row r="5" spans="1:2" x14ac:dyDescent="0.15">
      <c r="B5" s="75" t="s">
        <v>59</v>
      </c>
    </row>
    <row r="6" spans="1:2" x14ac:dyDescent="0.15">
      <c r="B6" s="75" t="s">
        <v>78</v>
      </c>
    </row>
    <row r="7" spans="1:2" x14ac:dyDescent="0.15">
      <c r="B7" s="75" t="s">
        <v>79</v>
      </c>
    </row>
    <row r="8" spans="1:2" x14ac:dyDescent="0.15">
      <c r="A8" s="75"/>
      <c r="B8" s="75" t="s">
        <v>80</v>
      </c>
    </row>
    <row r="9" spans="1:2" x14ac:dyDescent="0.15">
      <c r="A9" s="75"/>
      <c r="B9" s="75" t="s">
        <v>60</v>
      </c>
    </row>
    <row r="10" spans="1:2" x14ac:dyDescent="0.15">
      <c r="A10" s="75"/>
    </row>
    <row r="11" spans="1:2" x14ac:dyDescent="0.15">
      <c r="A11" s="75" t="s">
        <v>93</v>
      </c>
      <c r="B11" s="75"/>
    </row>
    <row r="12" spans="1:2" x14ac:dyDescent="0.15">
      <c r="A12" s="75" t="s">
        <v>95</v>
      </c>
      <c r="B12" s="75"/>
    </row>
    <row r="13" spans="1:2" x14ac:dyDescent="0.15">
      <c r="B13" s="75" t="s">
        <v>94</v>
      </c>
    </row>
    <row r="14" spans="1:2" x14ac:dyDescent="0.15">
      <c r="A14" s="75"/>
      <c r="B14" s="75" t="s">
        <v>56</v>
      </c>
    </row>
    <row r="15" spans="1:2" x14ac:dyDescent="0.15">
      <c r="A15" s="75"/>
    </row>
    <row r="16" spans="1:2" x14ac:dyDescent="0.15">
      <c r="A16" s="74" t="s">
        <v>82</v>
      </c>
    </row>
    <row r="17" spans="1:7" x14ac:dyDescent="0.15">
      <c r="A17" s="75" t="s">
        <v>81</v>
      </c>
    </row>
    <row r="18" spans="1:7" x14ac:dyDescent="0.15">
      <c r="A18" s="75"/>
      <c r="B18" s="75" t="s">
        <v>29</v>
      </c>
    </row>
    <row r="19" spans="1:7" x14ac:dyDescent="0.15">
      <c r="A19" s="75"/>
      <c r="B19" s="75" t="s">
        <v>62</v>
      </c>
    </row>
    <row r="20" spans="1:7" x14ac:dyDescent="0.15">
      <c r="A20" s="75"/>
    </row>
    <row r="21" spans="1:7" x14ac:dyDescent="0.15">
      <c r="A21" s="74" t="s">
        <v>57</v>
      </c>
    </row>
    <row r="22" spans="1:7" x14ac:dyDescent="0.15">
      <c r="A22" s="75" t="s">
        <v>58</v>
      </c>
    </row>
    <row r="23" spans="1:7" x14ac:dyDescent="0.15">
      <c r="B23" s="75" t="s">
        <v>85</v>
      </c>
    </row>
    <row r="24" spans="1:7" x14ac:dyDescent="0.15">
      <c r="B24" s="75" t="s">
        <v>83</v>
      </c>
    </row>
    <row r="25" spans="1:7" x14ac:dyDescent="0.15">
      <c r="B25" s="75" t="s">
        <v>84</v>
      </c>
    </row>
    <row r="26" spans="1:7" x14ac:dyDescent="0.15">
      <c r="B26" s="75"/>
    </row>
    <row r="27" spans="1:7" x14ac:dyDescent="0.15">
      <c r="A27" s="74" t="s">
        <v>61</v>
      </c>
    </row>
    <row r="28" spans="1:7" s="35" customFormat="1" x14ac:dyDescent="0.15">
      <c r="A28" s="76" t="s">
        <v>52</v>
      </c>
      <c r="G28" s="77"/>
    </row>
    <row r="29" spans="1:7" s="35" customFormat="1" x14ac:dyDescent="0.15">
      <c r="A29" s="76" t="s">
        <v>53</v>
      </c>
      <c r="G29" s="77"/>
    </row>
    <row r="30" spans="1:7" x14ac:dyDescent="0.15">
      <c r="A30" s="78" t="s">
        <v>50</v>
      </c>
    </row>
    <row r="32" spans="1:7" x14ac:dyDescent="0.15">
      <c r="A32" s="76" t="s">
        <v>87</v>
      </c>
    </row>
    <row r="33" spans="1:1" x14ac:dyDescent="0.15">
      <c r="A33" s="79" t="s">
        <v>51</v>
      </c>
    </row>
  </sheetData>
  <hyperlinks>
    <hyperlink ref="A33" r:id="rId1" xr:uid="{00000000-0004-0000-0400-000000000000}"/>
    <hyperlink ref="A30" r:id="rId2" xr:uid="{00000000-0004-0000-0400-000001000000}"/>
  </hyperlinks>
  <pageMargins left="0.75" right="0.75" top="1" bottom="1" header="0.5" footer="0.5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Intro</vt:lpstr>
      <vt:lpstr>Curve</vt:lpstr>
      <vt:lpstr>LIBOR-OIS</vt:lpstr>
      <vt:lpstr>Interpolation</vt:lpstr>
      <vt:lpstr>Exercise</vt:lpstr>
      <vt:lpstr>CPeriods</vt:lpstr>
      <vt:lpstr>DeltaT</vt:lpstr>
      <vt:lpstr>FwdCurve</vt:lpstr>
      <vt:lpstr>OIS_Spread</vt:lpstr>
      <vt:lpstr>r_12M</vt:lpstr>
      <vt:lpstr>r_18M</vt:lpstr>
      <vt:lpstr>r_1M</vt:lpstr>
      <vt:lpstr>r_6M</vt:lpstr>
      <vt:lpstr>SpotCurve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Diamond</dc:creator>
  <cp:lastModifiedBy>Richard Diamond</cp:lastModifiedBy>
  <dcterms:created xsi:type="dcterms:W3CDTF">2015-02-12T15:03:24Z</dcterms:created>
  <dcterms:modified xsi:type="dcterms:W3CDTF">2018-06-06T22:55:29Z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-1431688373</vt:i4>
  </property>
  <property fmtid="{D5CDD505-2E9C-101B-9397-08002B2CF9AE}" pid="3" name="_NewReviewCycle">
    <vt:lpwstr/>
  </property>
  <property fmtid="{D5CDD505-2E9C-101B-9397-08002B2CF9AE}" pid="4" name="_EmailSubject">
    <vt:lpwstr>HJM Files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-1431688373</vt:i4>
  </property>
</Properties>
</file>