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1" sheetId="1" r:id="rId4"/>
    <sheet state="visible" name="Trial2" sheetId="2" r:id="rId5"/>
    <sheet state="visible" name="Trial3" sheetId="3" r:id="rId6"/>
    <sheet state="visible" name="Average" sheetId="4" r:id="rId7"/>
    <sheet state="visible" name="Standard Deviation" sheetId="5" r:id="rId8"/>
    <sheet state="visible" name="Standard Error" sheetId="6" r:id="rId9"/>
    <sheet state="visible" name="ConfidenceInterval" sheetId="7" r:id="rId10"/>
    <sheet state="visible" name="Bounds" sheetId="8" r:id="rId11"/>
    <sheet state="visible" name="Significance" sheetId="9" r:id="rId12"/>
  </sheets>
  <definedNames/>
  <calcPr/>
</workbook>
</file>

<file path=xl/sharedStrings.xml><?xml version="1.0" encoding="utf-8"?>
<sst xmlns="http://schemas.openxmlformats.org/spreadsheetml/2006/main" count="194" uniqueCount="27">
  <si>
    <t>Model</t>
  </si>
  <si>
    <t>BERT Baseline</t>
  </si>
  <si>
    <t>BERT w/ Pruning &amp; Distillation</t>
  </si>
  <si>
    <t>DistilBERT Baseline</t>
  </si>
  <si>
    <t>DistilBERT w/ Pruning</t>
  </si>
  <si>
    <t>ALBERT Baseline</t>
  </si>
  <si>
    <t>ALBERT w/ Quantization</t>
  </si>
  <si>
    <t>ELECTRA Baseline</t>
  </si>
  <si>
    <t>ELECTRA w/ Pruning &amp; Distillation</t>
  </si>
  <si>
    <t>TinyBERT</t>
  </si>
  <si>
    <t>MobileBERT</t>
  </si>
  <si>
    <t>Total Energy (kWh)</t>
  </si>
  <si>
    <t>Total CO2 Emissions (kg)</t>
  </si>
  <si>
    <t>CPU Energy</t>
  </si>
  <si>
    <t>GPU Energy</t>
  </si>
  <si>
    <t>RAM Energy</t>
  </si>
  <si>
    <t>Emissions Rate</t>
  </si>
  <si>
    <t>Training Time (minutes)</t>
  </si>
  <si>
    <t>Accuracy</t>
  </si>
  <si>
    <t>Precision</t>
  </si>
  <si>
    <t>Recall</t>
  </si>
  <si>
    <t>F1</t>
  </si>
  <si>
    <t>ROC AUC</t>
  </si>
  <si>
    <t>BERT Baseline vs. BERT w/ Pruning &amp; Distillation</t>
  </si>
  <si>
    <t>DistilBERT Baseline vs. DistilBERT w/ Pruning</t>
  </si>
  <si>
    <t>ALBERT Baseline vs. ALBERT w/ Quantization</t>
  </si>
  <si>
    <t>ELECTRA Baseline vs. ELECTRA w/ Pruning &amp; Distillation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</si>
</sst>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11" xfId="0" applyAlignment="1" applyBorder="1" applyFont="1" applyNumberFormat="1">
      <alignment readingOrder="0" shrinkToFit="0" vertical="center" wrapText="0"/>
    </xf>
    <xf borderId="9" fillId="0" fontId="1" numFmtId="11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5" fillId="0" fontId="1" numFmtId="49" xfId="0" applyAlignment="1" applyBorder="1" applyFont="1" applyNumberFormat="1">
      <alignment readingOrder="0" shrinkToFit="0" vertical="center" wrapText="0"/>
    </xf>
    <xf borderId="6" fillId="0" fontId="1" numFmtId="49" xfId="0" applyAlignment="1" applyBorder="1" applyFont="1" applyNumberFormat="1">
      <alignment readingOrder="0" shrinkToFit="0" vertical="center" wrapText="0"/>
    </xf>
    <xf borderId="8" fillId="0" fontId="1" numFmtId="49" xfId="0" applyAlignment="1" applyBorder="1" applyFont="1" applyNumberFormat="1">
      <alignment readingOrder="0" shrinkToFit="0" vertical="center" wrapText="0"/>
    </xf>
    <xf borderId="9" fillId="0" fontId="1" numFmtId="49" xfId="0" applyAlignment="1" applyBorder="1" applyFont="1" applyNumberFormat="1">
      <alignment readingOrder="0" shrinkToFit="0" vertical="center" wrapText="0"/>
    </xf>
    <xf borderId="11" fillId="0" fontId="1" numFmtId="49" xfId="0" applyAlignment="1" applyBorder="1" applyFont="1" applyNumberFormat="1">
      <alignment readingOrder="0" shrinkToFit="0" vertical="center" wrapText="0"/>
    </xf>
    <xf borderId="12" fillId="0" fontId="1" numFmtId="49" xfId="0" applyAlignment="1" applyBorder="1" applyFont="1" applyNumberFormat="1">
      <alignment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9">
    <tableStyle count="3" pivot="0" name="Trial1-style">
      <tableStyleElement dxfId="1" type="headerRow"/>
      <tableStyleElement dxfId="2" type="firstRowStripe"/>
      <tableStyleElement dxfId="3" type="secondRowStripe"/>
    </tableStyle>
    <tableStyle count="3" pivot="0" name="Trial2-style">
      <tableStyleElement dxfId="1" type="headerRow"/>
      <tableStyleElement dxfId="2" type="firstRowStripe"/>
      <tableStyleElement dxfId="3" type="secondRowStripe"/>
    </tableStyle>
    <tableStyle count="3" pivot="0" name="Trial3-style">
      <tableStyleElement dxfId="1" type="headerRow"/>
      <tableStyleElement dxfId="2" type="firstRowStripe"/>
      <tableStyleElement dxfId="3" type="secondRowStripe"/>
    </tableStyle>
    <tableStyle count="3" pivot="0" name="Average-style">
      <tableStyleElement dxfId="1" type="headerRow"/>
      <tableStyleElement dxfId="2" type="firstRowStripe"/>
      <tableStyleElement dxfId="3" type="secondRowStripe"/>
    </tableStyle>
    <tableStyle count="3" pivot="0" name="Standard Deviation-style">
      <tableStyleElement dxfId="1" type="headerRow"/>
      <tableStyleElement dxfId="2" type="firstRowStripe"/>
      <tableStyleElement dxfId="3" type="secondRowStripe"/>
    </tableStyle>
    <tableStyle count="3" pivot="0" name="Standard Error-style">
      <tableStyleElement dxfId="1" type="headerRow"/>
      <tableStyleElement dxfId="2" type="firstRowStripe"/>
      <tableStyleElement dxfId="3" type="secondRowStripe"/>
    </tableStyle>
    <tableStyle count="3" pivot="0" name="ConfidenceInterval-style">
      <tableStyleElement dxfId="1" type="headerRow"/>
      <tableStyleElement dxfId="2" type="firstRowStripe"/>
      <tableStyleElement dxfId="3" type="secondRowStripe"/>
    </tableStyle>
    <tableStyle count="3" pivot="0" name="Bounds-style">
      <tableStyleElement dxfId="1" type="headerRow"/>
      <tableStyleElement dxfId="2" type="firstRowStripe"/>
      <tableStyleElement dxfId="3" type="secondRowStripe"/>
    </tableStyle>
    <tableStyle count="3" pivot="0" name="Significanc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3" displayName="Trial_1" name="Trial_1" id="1">
  <tableColumns count="11">
    <tableColumn name="Model" id="1"/>
    <tableColumn name="BERT Baseline" id="2"/>
    <tableColumn name="BERT w/ Pruning &amp; Distillation" id="3"/>
    <tableColumn name="DistilBERT Baseline" id="4"/>
    <tableColumn name="DistilBERT w/ Pruning" id="5"/>
    <tableColumn name="ALBERT Baseline" id="6"/>
    <tableColumn name="ALBERT w/ Quantization" id="7"/>
    <tableColumn name="ELECTRA Baseline" id="8"/>
    <tableColumn name="ELECTRA w/ Pruning &amp; Distillation" id="9"/>
    <tableColumn name="TinyBERT" id="10"/>
    <tableColumn name="MobileBERT" id="11"/>
  </tableColumns>
  <tableStyleInfo name="Trial1-style" showColumnStripes="0" showFirstColumn="1" showLastColumn="1" showRowStripes="1"/>
</table>
</file>

<file path=xl/tables/table2.xml><?xml version="1.0" encoding="utf-8"?>
<table xmlns="http://schemas.openxmlformats.org/spreadsheetml/2006/main" ref="A1:K13" displayName="Trial_2" name="Trial_2" id="2">
  <tableColumns count="11">
    <tableColumn name="Model" id="1"/>
    <tableColumn name="BERT Baseline" id="2"/>
    <tableColumn name="BERT w/ Pruning &amp; Distillation" id="3"/>
    <tableColumn name="DistilBERT Baseline" id="4"/>
    <tableColumn name="DistilBERT w/ Pruning" id="5"/>
    <tableColumn name="ALBERT Baseline" id="6"/>
    <tableColumn name="ALBERT w/ Quantization" id="7"/>
    <tableColumn name="ELECTRA Baseline" id="8"/>
    <tableColumn name="ELECTRA w/ Pruning &amp; Distillation" id="9"/>
    <tableColumn name="TinyBERT" id="10"/>
    <tableColumn name="MobileBERT" id="11"/>
  </tableColumns>
  <tableStyleInfo name="Trial2-style" showColumnStripes="0" showFirstColumn="1" showLastColumn="1" showRowStripes="1"/>
</table>
</file>

<file path=xl/tables/table3.xml><?xml version="1.0" encoding="utf-8"?>
<table xmlns="http://schemas.openxmlformats.org/spreadsheetml/2006/main" ref="A1:K13" displayName="Trial_3" name="Trial_3" id="3">
  <tableColumns count="11">
    <tableColumn name="Model" id="1"/>
    <tableColumn name="BERT Baseline" id="2"/>
    <tableColumn name="BERT w/ Pruning &amp; Distillation" id="3"/>
    <tableColumn name="DistilBERT Baseline" id="4"/>
    <tableColumn name="DistilBERT w/ Pruning" id="5"/>
    <tableColumn name="ALBERT Baseline" id="6"/>
    <tableColumn name="ALBERT w/ Quantization" id="7"/>
    <tableColumn name="ELECTRA Baseline" id="8"/>
    <tableColumn name="ELECTRA w/ Pruning &amp; Distillation" id="9"/>
    <tableColumn name="TinyBERT" id="10"/>
    <tableColumn name="MobileBERT" id="11"/>
  </tableColumns>
  <tableStyleInfo name="Trial3-style" showColumnStripes="0" showFirstColumn="1" showLastColumn="1" showRowStripes="1"/>
</table>
</file>

<file path=xl/tables/table4.xml><?xml version="1.0" encoding="utf-8"?>
<table xmlns="http://schemas.openxmlformats.org/spreadsheetml/2006/main" ref="A1:K13" displayName="Average" name="Average" id="4">
  <tableColumns count="11">
    <tableColumn name="Model" id="1"/>
    <tableColumn name="BERT Baseline" id="2"/>
    <tableColumn name="BERT w/ Pruning &amp; Distillation" id="3"/>
    <tableColumn name="DistilBERT Baseline" id="4"/>
    <tableColumn name="DistilBERT w/ Pruning" id="5"/>
    <tableColumn name="ALBERT Baseline" id="6"/>
    <tableColumn name="ALBERT w/ Quantization" id="7"/>
    <tableColumn name="ELECTRA Baseline" id="8"/>
    <tableColumn name="ELECTRA w/ Pruning &amp; Distillation" id="9"/>
    <tableColumn name="TinyBERT" id="10"/>
    <tableColumn name="MobileBERT" id="11"/>
  </tableColumns>
  <tableStyleInfo name="Average-style" showColumnStripes="0" showFirstColumn="1" showLastColumn="1" showRowStripes="1"/>
</table>
</file>

<file path=xl/tables/table5.xml><?xml version="1.0" encoding="utf-8"?>
<table xmlns="http://schemas.openxmlformats.org/spreadsheetml/2006/main" ref="A1:K13" displayName="StDev" name="StDev" id="5">
  <tableColumns count="11">
    <tableColumn name="Model" id="1"/>
    <tableColumn name="BERT Baseline" id="2"/>
    <tableColumn name="BERT w/ Pruning &amp; Distillation" id="3"/>
    <tableColumn name="DistilBERT Baseline" id="4"/>
    <tableColumn name="DistilBERT w/ Pruning" id="5"/>
    <tableColumn name="ALBERT Baseline" id="6"/>
    <tableColumn name="ALBERT w/ Quantization" id="7"/>
    <tableColumn name="ELECTRA Baseline" id="8"/>
    <tableColumn name="ELECTRA w/ Pruning &amp; Distillation" id="9"/>
    <tableColumn name="TinyBERT" id="10"/>
    <tableColumn name="MobileBERT" id="11"/>
  </tableColumns>
  <tableStyleInfo name="Standard Deviation-style" showColumnStripes="0" showFirstColumn="1" showLastColumn="1" showRowStripes="1"/>
</table>
</file>

<file path=xl/tables/table6.xml><?xml version="1.0" encoding="utf-8"?>
<table xmlns="http://schemas.openxmlformats.org/spreadsheetml/2006/main" ref="A1:K13" displayName="SE" name="SE" id="6">
  <tableColumns count="11">
    <tableColumn name="Model" id="1"/>
    <tableColumn name="BERT Baseline" id="2"/>
    <tableColumn name="BERT w/ Pruning &amp; Distillation" id="3"/>
    <tableColumn name="DistilBERT Baseline" id="4"/>
    <tableColumn name="DistilBERT w/ Pruning" id="5"/>
    <tableColumn name="ALBERT Baseline" id="6"/>
    <tableColumn name="ALBERT w/ Quantization" id="7"/>
    <tableColumn name="ELECTRA Baseline" id="8"/>
    <tableColumn name="ELECTRA w/ Pruning &amp; Distillation" id="9"/>
    <tableColumn name="TinyBERT" id="10"/>
    <tableColumn name="MobileBERT" id="11"/>
  </tableColumns>
  <tableStyleInfo name="Standard Error-style" showColumnStripes="0" showFirstColumn="1" showLastColumn="1" showRowStripes="1"/>
</table>
</file>

<file path=xl/tables/table7.xml><?xml version="1.0" encoding="utf-8"?>
<table xmlns="http://schemas.openxmlformats.org/spreadsheetml/2006/main" ref="A1:K13" displayName="CI" name="CI" id="7">
  <tableColumns count="11">
    <tableColumn name="Model" id="1"/>
    <tableColumn name="BERT Baseline" id="2"/>
    <tableColumn name="BERT w/ Pruning &amp; Distillation" id="3"/>
    <tableColumn name="DistilBERT Baseline" id="4"/>
    <tableColumn name="DistilBERT w/ Pruning" id="5"/>
    <tableColumn name="ALBERT Baseline" id="6"/>
    <tableColumn name="ALBERT w/ Quantization" id="7"/>
    <tableColumn name="ELECTRA Baseline" id="8"/>
    <tableColumn name="ELECTRA w/ Pruning &amp; Distillation" id="9"/>
    <tableColumn name="TinyBERT" id="10"/>
    <tableColumn name="MobileBERT" id="11"/>
  </tableColumns>
  <tableStyleInfo name="ConfidenceInterval-style" showColumnStripes="0" showFirstColumn="1" showLastColumn="1" showRowStripes="1"/>
</table>
</file>

<file path=xl/tables/table8.xml><?xml version="1.0" encoding="utf-8"?>
<table xmlns="http://schemas.openxmlformats.org/spreadsheetml/2006/main" ref="A1:K13" displayName="Bounds" name="Bounds" id="8">
  <tableColumns count="11">
    <tableColumn name="Model" id="1"/>
    <tableColumn name="BERT Baseline" id="2"/>
    <tableColumn name="BERT w/ Pruning &amp; Distillation" id="3"/>
    <tableColumn name="DistilBERT Baseline" id="4"/>
    <tableColumn name="DistilBERT w/ Pruning" id="5"/>
    <tableColumn name="ALBERT Baseline" id="6"/>
    <tableColumn name="ALBERT w/ Quantization" id="7"/>
    <tableColumn name="ELECTRA Baseline" id="8"/>
    <tableColumn name="ELECTRA w/ Pruning &amp; Distillation" id="9"/>
    <tableColumn name="TinyBERT" id="10"/>
    <tableColumn name="MobileBERT" id="11"/>
  </tableColumns>
  <tableStyleInfo name="Bounds-style" showColumnStripes="0" showFirstColumn="1" showLastColumn="1" showRowStripes="1"/>
</table>
</file>

<file path=xl/tables/table9.xml><?xml version="1.0" encoding="utf-8"?>
<table xmlns="http://schemas.openxmlformats.org/spreadsheetml/2006/main" ref="A1:E6" displayName="Significance" name="Significance" id="9">
  <tableColumns count="5">
    <tableColumn name="Model" id="1"/>
    <tableColumn name="BERT Baseline vs. BERT w/ Pruning &amp; Distillation" id="2"/>
    <tableColumn name="DistilBERT Baseline vs. DistilBERT w/ Pruning" id="3"/>
    <tableColumn name="ALBERT Baseline vs. ALBERT w/ Quantization" id="4"/>
    <tableColumn name="ELECTRA Baseline vs. ELECTRA w/ Pruning &amp; Distillation" id="5"/>
  </tableColumns>
  <tableStyleInfo name="Significanc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0"/>
    <col customWidth="1" min="2" max="2" width="19.38"/>
    <col customWidth="1" min="3" max="3" width="30.88"/>
    <col customWidth="1" min="4" max="4" width="23.13"/>
    <col customWidth="1" min="5" max="5" width="24.88"/>
    <col customWidth="1" min="6" max="6" width="21.38"/>
    <col customWidth="1" min="7" max="7" width="26.88"/>
    <col customWidth="1" min="8" max="8" width="22.38"/>
    <col customWidth="1" min="9" max="9" width="33.88"/>
    <col customWidth="1" min="10" max="10" width="15.75"/>
    <col customWidth="1" min="11" max="11" width="1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 t="s">
        <v>11</v>
      </c>
      <c r="B2" s="5">
        <v>7.664</v>
      </c>
      <c r="C2" s="5">
        <v>4.874</v>
      </c>
      <c r="D2" s="5">
        <v>3.588</v>
      </c>
      <c r="E2" s="5">
        <v>3.625</v>
      </c>
      <c r="F2" s="5">
        <v>7.584</v>
      </c>
      <c r="G2" s="6">
        <v>7.061</v>
      </c>
      <c r="H2" s="5">
        <v>6.767</v>
      </c>
      <c r="I2" s="5">
        <v>5.36008</v>
      </c>
      <c r="J2" s="5">
        <v>0.738</v>
      </c>
      <c r="K2" s="7">
        <v>3.872</v>
      </c>
    </row>
    <row r="3">
      <c r="A3" s="8" t="s">
        <v>12</v>
      </c>
      <c r="B3" s="9">
        <v>3.56</v>
      </c>
      <c r="C3" s="9">
        <v>2.264</v>
      </c>
      <c r="D3" s="9">
        <v>1.667</v>
      </c>
      <c r="E3" s="9">
        <v>1.684</v>
      </c>
      <c r="F3" s="9">
        <v>3.524</v>
      </c>
      <c r="G3" s="10">
        <v>3.28</v>
      </c>
      <c r="H3" s="9">
        <v>3.144</v>
      </c>
      <c r="I3" s="9">
        <v>2.49014</v>
      </c>
      <c r="J3" s="9">
        <v>0.343</v>
      </c>
      <c r="K3" s="11">
        <v>1.799</v>
      </c>
    </row>
    <row r="4">
      <c r="A4" s="4" t="s">
        <v>13</v>
      </c>
      <c r="B4" s="5">
        <v>3.568</v>
      </c>
      <c r="C4" s="5">
        <v>2.261</v>
      </c>
      <c r="D4" s="5">
        <v>1.669</v>
      </c>
      <c r="E4" s="5">
        <v>1.692</v>
      </c>
      <c r="F4" s="5">
        <v>3.528</v>
      </c>
      <c r="G4" s="6">
        <v>3.309</v>
      </c>
      <c r="H4" s="5">
        <v>3.13</v>
      </c>
      <c r="I4" s="5">
        <v>2.498</v>
      </c>
      <c r="J4" s="5">
        <v>0.346</v>
      </c>
      <c r="K4" s="7">
        <v>1.802</v>
      </c>
    </row>
    <row r="5">
      <c r="A5" s="8" t="s">
        <v>14</v>
      </c>
      <c r="B5" s="9">
        <v>3.761</v>
      </c>
      <c r="C5" s="9">
        <v>2.401</v>
      </c>
      <c r="D5" s="9">
        <v>1.763</v>
      </c>
      <c r="E5" s="9">
        <v>1.775</v>
      </c>
      <c r="F5" s="9">
        <v>3.725</v>
      </c>
      <c r="G5" s="10">
        <v>3.441</v>
      </c>
      <c r="H5" s="9">
        <v>3.344</v>
      </c>
      <c r="I5" s="9">
        <v>2.628</v>
      </c>
      <c r="J5" s="9">
        <v>0.36</v>
      </c>
      <c r="K5" s="11">
        <v>1.901</v>
      </c>
    </row>
    <row r="6">
      <c r="A6" s="4" t="s">
        <v>15</v>
      </c>
      <c r="B6" s="5">
        <v>0.335</v>
      </c>
      <c r="C6" s="5">
        <v>0.212</v>
      </c>
      <c r="D6" s="5">
        <v>0.157</v>
      </c>
      <c r="E6" s="5">
        <v>0.159</v>
      </c>
      <c r="F6" s="5">
        <v>0.331</v>
      </c>
      <c r="G6" s="6">
        <v>0.311</v>
      </c>
      <c r="H6" s="5">
        <v>0.294</v>
      </c>
      <c r="I6" s="5">
        <v>0.234</v>
      </c>
      <c r="J6" s="5">
        <v>0.032</v>
      </c>
      <c r="K6" s="7">
        <v>0.169</v>
      </c>
    </row>
    <row r="7">
      <c r="A7" s="8" t="s">
        <v>16</v>
      </c>
      <c r="B7" s="12">
        <v>1.732E-5</v>
      </c>
      <c r="C7" s="12">
        <v>1.739E-5</v>
      </c>
      <c r="D7" s="12">
        <v>1.734E-5</v>
      </c>
      <c r="E7" s="12">
        <v>1.728E-5</v>
      </c>
      <c r="F7" s="12">
        <v>1.734E-5</v>
      </c>
      <c r="G7" s="10">
        <v>1.72E-5</v>
      </c>
      <c r="H7" s="12">
        <v>1.744E-5</v>
      </c>
      <c r="I7" s="12">
        <v>1.73E-5</v>
      </c>
      <c r="J7" s="12">
        <v>1.72E-5</v>
      </c>
      <c r="K7" s="13">
        <v>1.733E-5</v>
      </c>
    </row>
    <row r="8">
      <c r="A8" s="4" t="s">
        <v>17</v>
      </c>
      <c r="B8" s="5">
        <v>3425.743</v>
      </c>
      <c r="C8" s="5">
        <v>2170.218</v>
      </c>
      <c r="D8" s="5">
        <v>1602.301</v>
      </c>
      <c r="E8" s="5">
        <v>1624.153</v>
      </c>
      <c r="F8" s="5">
        <v>3387.255</v>
      </c>
      <c r="G8" s="6">
        <v>3177.788</v>
      </c>
      <c r="H8" s="5">
        <v>3004.607</v>
      </c>
      <c r="I8" s="5">
        <v>2398.292</v>
      </c>
      <c r="J8" s="5">
        <v>332.448</v>
      </c>
      <c r="K8" s="7">
        <v>1730.271</v>
      </c>
    </row>
    <row r="9">
      <c r="A9" s="8" t="s">
        <v>18</v>
      </c>
      <c r="B9" s="9">
        <v>0.96149</v>
      </c>
      <c r="C9" s="9">
        <v>0.95932</v>
      </c>
      <c r="D9" s="9">
        <v>0.95906</v>
      </c>
      <c r="E9" s="9">
        <v>0.95897</v>
      </c>
      <c r="F9" s="9">
        <v>0.95218</v>
      </c>
      <c r="G9" s="10">
        <v>0.58729</v>
      </c>
      <c r="H9" s="9">
        <v>0.96689</v>
      </c>
      <c r="I9" s="9">
        <v>0.9592</v>
      </c>
      <c r="J9" s="9">
        <v>0.95141</v>
      </c>
      <c r="K9" s="11">
        <v>0.92329</v>
      </c>
    </row>
    <row r="10">
      <c r="A10" s="4" t="s">
        <v>19</v>
      </c>
      <c r="B10" s="5">
        <v>0.9615</v>
      </c>
      <c r="C10" s="5">
        <v>0.95933</v>
      </c>
      <c r="D10" s="5">
        <v>0.95906</v>
      </c>
      <c r="E10" s="5">
        <v>0.95897</v>
      </c>
      <c r="F10" s="5">
        <v>0.95218</v>
      </c>
      <c r="G10" s="6">
        <v>0.63431</v>
      </c>
      <c r="H10" s="5">
        <v>0.96689</v>
      </c>
      <c r="I10" s="5">
        <v>0.95921</v>
      </c>
      <c r="J10" s="5">
        <v>0.95141</v>
      </c>
      <c r="K10" s="7">
        <v>0.92333</v>
      </c>
    </row>
    <row r="11">
      <c r="A11" s="8" t="s">
        <v>20</v>
      </c>
      <c r="B11" s="9">
        <v>0.96149</v>
      </c>
      <c r="C11" s="9">
        <v>0.95932</v>
      </c>
      <c r="D11" s="9">
        <v>0.95906</v>
      </c>
      <c r="E11" s="9">
        <v>0.95897</v>
      </c>
      <c r="F11" s="9">
        <v>0.95218</v>
      </c>
      <c r="G11" s="10">
        <v>0.58729</v>
      </c>
      <c r="H11" s="9">
        <v>0.96689</v>
      </c>
      <c r="I11" s="9">
        <v>0.9592</v>
      </c>
      <c r="J11" s="9">
        <v>0.95141</v>
      </c>
      <c r="K11" s="11">
        <v>0.92329</v>
      </c>
    </row>
    <row r="12">
      <c r="A12" s="4" t="s">
        <v>21</v>
      </c>
      <c r="B12" s="5">
        <v>0.96149</v>
      </c>
      <c r="C12" s="5">
        <v>0.95932</v>
      </c>
      <c r="D12" s="5">
        <v>0.95905</v>
      </c>
      <c r="E12" s="5">
        <v>0.95896</v>
      </c>
      <c r="F12" s="5">
        <v>0.95218</v>
      </c>
      <c r="G12" s="6">
        <v>0.54769</v>
      </c>
      <c r="H12" s="5">
        <v>0.96689</v>
      </c>
      <c r="I12" s="5">
        <v>0.9592</v>
      </c>
      <c r="J12" s="5">
        <v>0.95141</v>
      </c>
      <c r="K12" s="7">
        <v>0.92329</v>
      </c>
    </row>
    <row r="13">
      <c r="A13" s="14" t="s">
        <v>22</v>
      </c>
      <c r="B13" s="15">
        <v>0.9913</v>
      </c>
      <c r="C13" s="15">
        <v>0.98926</v>
      </c>
      <c r="D13" s="15">
        <v>0.99065</v>
      </c>
      <c r="E13" s="15">
        <v>0.99071</v>
      </c>
      <c r="F13" s="15">
        <v>0.98897</v>
      </c>
      <c r="G13" s="16">
        <v>0.68301</v>
      </c>
      <c r="H13" s="15">
        <v>0.99306</v>
      </c>
      <c r="I13" s="15">
        <v>0.99034</v>
      </c>
      <c r="J13" s="15">
        <v>0.98875</v>
      </c>
      <c r="K13" s="17">
        <v>0.97685</v>
      </c>
    </row>
  </sheetData>
  <dataValidations>
    <dataValidation type="custom" allowBlank="1" showDropDown="1" sqref="B2:K13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0"/>
    <col customWidth="1" min="2" max="2" width="19.38"/>
    <col customWidth="1" min="3" max="3" width="30.88"/>
    <col customWidth="1" min="4" max="4" width="23.13"/>
    <col customWidth="1" min="5" max="5" width="24.88"/>
    <col customWidth="1" min="6" max="6" width="21.38"/>
    <col customWidth="1" min="7" max="7" width="26.88"/>
    <col customWidth="1" min="8" max="8" width="22.38"/>
    <col customWidth="1" min="9" max="9" width="33.88"/>
    <col customWidth="1" min="10" max="10" width="15.75"/>
    <col customWidth="1" min="11" max="11" width="1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 t="s">
        <v>11</v>
      </c>
      <c r="B2" s="6">
        <v>6.73</v>
      </c>
      <c r="C2" s="6">
        <v>5.298</v>
      </c>
      <c r="D2" s="6">
        <v>3.25</v>
      </c>
      <c r="E2" s="6">
        <v>3.813</v>
      </c>
      <c r="F2" s="18">
        <v>7.602303236797274</v>
      </c>
      <c r="G2" s="6">
        <v>7.044</v>
      </c>
      <c r="H2" s="6">
        <v>6.448</v>
      </c>
      <c r="I2" s="6">
        <v>4.692</v>
      </c>
      <c r="J2" s="6">
        <v>0.615</v>
      </c>
      <c r="K2" s="19">
        <v>3.453</v>
      </c>
    </row>
    <row r="3">
      <c r="A3" s="8" t="s">
        <v>12</v>
      </c>
      <c r="B3" s="10">
        <v>3.172</v>
      </c>
      <c r="C3" s="10">
        <v>2.461</v>
      </c>
      <c r="D3" s="10">
        <v>1.51</v>
      </c>
      <c r="E3" s="10">
        <v>1.771</v>
      </c>
      <c r="F3" s="20">
        <v>3.5315368163764127</v>
      </c>
      <c r="G3" s="10">
        <v>3.273</v>
      </c>
      <c r="H3" s="10">
        <v>2.995</v>
      </c>
      <c r="I3" s="10">
        <v>2.18</v>
      </c>
      <c r="J3" s="10">
        <v>0.286</v>
      </c>
      <c r="K3" s="21">
        <v>1.604</v>
      </c>
    </row>
    <row r="4">
      <c r="A4" s="4" t="s">
        <v>13</v>
      </c>
      <c r="B4" s="6">
        <v>2.532</v>
      </c>
      <c r="C4" s="6">
        <v>2.459</v>
      </c>
      <c r="D4" s="6">
        <v>1.228</v>
      </c>
      <c r="E4" s="6">
        <v>1.779</v>
      </c>
      <c r="F4" s="18">
        <v>3.535479103573592</v>
      </c>
      <c r="G4" s="6">
        <v>3.302</v>
      </c>
      <c r="H4" s="6">
        <v>2.425</v>
      </c>
      <c r="I4" s="6">
        <v>1.767</v>
      </c>
      <c r="J4" s="6">
        <v>0.288</v>
      </c>
      <c r="K4" s="19">
        <v>1.307</v>
      </c>
    </row>
    <row r="5">
      <c r="A5" s="8" t="s">
        <v>14</v>
      </c>
      <c r="B5" s="10">
        <v>3.93</v>
      </c>
      <c r="C5" s="10">
        <v>2.597</v>
      </c>
      <c r="D5" s="10">
        <v>1.892</v>
      </c>
      <c r="E5" s="10">
        <v>1.867</v>
      </c>
      <c r="F5" s="20">
        <v>3.734768356643356</v>
      </c>
      <c r="G5" s="10">
        <v>3.432</v>
      </c>
      <c r="H5" s="10">
        <v>3.766</v>
      </c>
      <c r="I5" s="10">
        <v>2.738</v>
      </c>
      <c r="J5" s="10">
        <v>0.301</v>
      </c>
      <c r="K5" s="21">
        <v>2.008</v>
      </c>
    </row>
    <row r="6">
      <c r="A6" s="4" t="s">
        <v>15</v>
      </c>
      <c r="B6" s="6">
        <v>0.268</v>
      </c>
      <c r="C6" s="6">
        <v>0.232</v>
      </c>
      <c r="D6" s="6">
        <v>0.13</v>
      </c>
      <c r="E6" s="6">
        <v>0.167</v>
      </c>
      <c r="F6" s="18">
        <v>0.3320677419354839</v>
      </c>
      <c r="G6" s="6">
        <v>0.31</v>
      </c>
      <c r="H6" s="6">
        <v>0.257</v>
      </c>
      <c r="I6" s="6">
        <v>0.187</v>
      </c>
      <c r="J6" s="6">
        <v>0.027</v>
      </c>
      <c r="K6" s="19">
        <v>0.138</v>
      </c>
    </row>
    <row r="7">
      <c r="A7" s="8" t="s">
        <v>16</v>
      </c>
      <c r="B7" s="10">
        <v>1.457E-5</v>
      </c>
      <c r="C7" s="10">
        <v>1.73E-5</v>
      </c>
      <c r="D7" s="10">
        <v>1.451E-5</v>
      </c>
      <c r="E7" s="10">
        <v>1.729E-5</v>
      </c>
      <c r="F7" s="20">
        <v>1.734E-5</v>
      </c>
      <c r="G7" s="10">
        <v>1.72E-5</v>
      </c>
      <c r="H7" s="10">
        <v>1.457E-5</v>
      </c>
      <c r="I7" s="10">
        <v>1.455E-5</v>
      </c>
      <c r="J7" s="10">
        <v>1.726E-5</v>
      </c>
      <c r="K7" s="21">
        <v>1.448E-5</v>
      </c>
    </row>
    <row r="8">
      <c r="A8" s="4" t="s">
        <v>17</v>
      </c>
      <c r="B8" s="6">
        <v>3576.587</v>
      </c>
      <c r="C8" s="6">
        <v>2370.473</v>
      </c>
      <c r="D8" s="6">
        <v>1734.538</v>
      </c>
      <c r="E8" s="6">
        <v>1708.058</v>
      </c>
      <c r="F8" s="18">
        <v>3394.5573102147237</v>
      </c>
      <c r="G8" s="6">
        <v>3170.952</v>
      </c>
      <c r="H8" s="6">
        <v>3425.556</v>
      </c>
      <c r="I8" s="6">
        <v>2496.85</v>
      </c>
      <c r="J8" s="6">
        <v>276.087</v>
      </c>
      <c r="K8" s="19">
        <v>1845.84</v>
      </c>
    </row>
    <row r="9">
      <c r="A9" s="8" t="s">
        <v>18</v>
      </c>
      <c r="B9" s="10">
        <v>0.96159</v>
      </c>
      <c r="C9" s="10">
        <v>0.95845</v>
      </c>
      <c r="D9" s="10">
        <v>0.95863</v>
      </c>
      <c r="E9" s="10">
        <v>0.95859</v>
      </c>
      <c r="F9" s="20">
        <v>0.7749418552957968</v>
      </c>
      <c r="G9" s="10">
        <v>0.72161</v>
      </c>
      <c r="H9" s="10">
        <v>0.96709</v>
      </c>
      <c r="I9" s="10">
        <v>0.95914</v>
      </c>
      <c r="J9" s="10">
        <v>0.95159</v>
      </c>
      <c r="K9" s="21">
        <v>0.92593</v>
      </c>
    </row>
    <row r="10">
      <c r="A10" s="4" t="s">
        <v>19</v>
      </c>
      <c r="B10" s="6">
        <v>0.96159</v>
      </c>
      <c r="C10" s="6">
        <v>0.95852</v>
      </c>
      <c r="D10" s="6">
        <v>0.95863</v>
      </c>
      <c r="E10" s="6">
        <v>0.95859</v>
      </c>
      <c r="F10" s="18">
        <v>0.8364293866415544</v>
      </c>
      <c r="G10" s="6">
        <v>0.72209</v>
      </c>
      <c r="H10" s="6">
        <v>0.96709</v>
      </c>
      <c r="I10" s="6">
        <v>0.95915</v>
      </c>
      <c r="J10" s="6">
        <v>0.95159</v>
      </c>
      <c r="K10" s="19">
        <v>0.92593</v>
      </c>
    </row>
    <row r="11">
      <c r="A11" s="8" t="s">
        <v>20</v>
      </c>
      <c r="B11" s="10">
        <v>0.96159</v>
      </c>
      <c r="C11" s="10">
        <v>0.95845</v>
      </c>
      <c r="D11" s="10">
        <v>0.95863</v>
      </c>
      <c r="E11" s="10">
        <v>0.95859</v>
      </c>
      <c r="F11" s="20">
        <v>0.7749418552957968</v>
      </c>
      <c r="G11" s="10">
        <v>0.72161</v>
      </c>
      <c r="H11" s="10">
        <v>0.96709</v>
      </c>
      <c r="I11" s="10">
        <v>0.95914</v>
      </c>
      <c r="J11" s="10">
        <v>0.95159</v>
      </c>
      <c r="K11" s="21">
        <v>0.92593</v>
      </c>
    </row>
    <row r="12">
      <c r="A12" s="4" t="s">
        <v>21</v>
      </c>
      <c r="B12" s="6">
        <v>0.96158</v>
      </c>
      <c r="C12" s="6">
        <v>0.95845</v>
      </c>
      <c r="D12" s="6">
        <v>0.95863</v>
      </c>
      <c r="E12" s="6">
        <v>0.95858</v>
      </c>
      <c r="F12" s="18">
        <v>0.7228390544174313</v>
      </c>
      <c r="G12" s="6">
        <v>0.72146</v>
      </c>
      <c r="H12" s="6">
        <v>0.96709</v>
      </c>
      <c r="I12" s="6">
        <v>0.95914</v>
      </c>
      <c r="J12" s="6">
        <v>0.95159</v>
      </c>
      <c r="K12" s="19">
        <v>0.92593</v>
      </c>
    </row>
    <row r="13">
      <c r="A13" s="14" t="s">
        <v>22</v>
      </c>
      <c r="B13" s="16">
        <v>0.99143</v>
      </c>
      <c r="C13" s="16">
        <v>0.98901</v>
      </c>
      <c r="D13" s="16">
        <v>0.99062</v>
      </c>
      <c r="E13" s="16">
        <v>0.99058</v>
      </c>
      <c r="F13" s="22">
        <v>0.8851973576820256</v>
      </c>
      <c r="G13" s="16">
        <v>0.76308</v>
      </c>
      <c r="H13" s="16">
        <v>0.99302</v>
      </c>
      <c r="I13" s="16">
        <v>0.99048</v>
      </c>
      <c r="J13" s="16">
        <v>0.98876</v>
      </c>
      <c r="K13" s="23">
        <v>0.97833</v>
      </c>
    </row>
  </sheetData>
  <dataValidations>
    <dataValidation type="custom" allowBlank="1" showDropDown="1" sqref="B2:K13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0"/>
    <col customWidth="1" min="2" max="2" width="19.38"/>
    <col customWidth="1" min="3" max="3" width="30.88"/>
    <col customWidth="1" min="4" max="4" width="23.13"/>
    <col customWidth="1" min="5" max="5" width="24.88"/>
    <col customWidth="1" min="6" max="6" width="21.38"/>
    <col customWidth="1" min="7" max="7" width="26.88"/>
    <col customWidth="1" min="8" max="8" width="22.38"/>
    <col customWidth="1" min="9" max="9" width="33.88"/>
    <col customWidth="1" min="10" max="10" width="15.75"/>
    <col customWidth="1" min="11" max="11" width="1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 t="s">
        <v>11</v>
      </c>
      <c r="B2" s="6">
        <v>7.197</v>
      </c>
      <c r="C2" s="6">
        <v>4.489</v>
      </c>
      <c r="D2" s="6">
        <v>3.253</v>
      </c>
      <c r="E2" s="6">
        <v>3.33</v>
      </c>
      <c r="F2" s="6">
        <v>7.593151618398637</v>
      </c>
      <c r="G2" s="6">
        <v>7.0525</v>
      </c>
      <c r="H2" s="6">
        <v>6.6075</v>
      </c>
      <c r="I2" s="6">
        <v>5.02604</v>
      </c>
      <c r="J2" s="6">
        <v>0.533</v>
      </c>
      <c r="K2" s="19">
        <v>3.6624999999999996</v>
      </c>
    </row>
    <row r="3">
      <c r="A3" s="8" t="s">
        <v>12</v>
      </c>
      <c r="B3" s="10">
        <v>3.366</v>
      </c>
      <c r="C3" s="10">
        <v>2.085</v>
      </c>
      <c r="D3" s="10">
        <v>1.511</v>
      </c>
      <c r="E3" s="10">
        <v>1.547</v>
      </c>
      <c r="F3" s="10">
        <v>3.5277684081882064</v>
      </c>
      <c r="G3" s="10">
        <v>3.2765</v>
      </c>
      <c r="H3" s="10">
        <v>3.0695</v>
      </c>
      <c r="I3" s="10">
        <v>2.33507</v>
      </c>
      <c r="J3" s="10">
        <v>0.248</v>
      </c>
      <c r="K3" s="21">
        <v>1.7015</v>
      </c>
    </row>
    <row r="4">
      <c r="A4" s="4" t="s">
        <v>13</v>
      </c>
      <c r="B4" s="6">
        <v>3.05</v>
      </c>
      <c r="C4" s="6">
        <v>1.693</v>
      </c>
      <c r="D4" s="6">
        <v>1.229</v>
      </c>
      <c r="E4" s="6">
        <v>1.256</v>
      </c>
      <c r="F4" s="6">
        <v>3.5317395517867958</v>
      </c>
      <c r="G4" s="6">
        <v>3.3055000000000003</v>
      </c>
      <c r="H4" s="6">
        <v>2.7775</v>
      </c>
      <c r="I4" s="6">
        <v>2.1325000000000003</v>
      </c>
      <c r="J4" s="6">
        <v>0.203</v>
      </c>
      <c r="K4" s="19">
        <v>1.5545</v>
      </c>
    </row>
    <row r="5">
      <c r="A5" s="8" t="s">
        <v>14</v>
      </c>
      <c r="B5" s="10">
        <v>3.8455000000000004</v>
      </c>
      <c r="C5" s="10">
        <v>2.617</v>
      </c>
      <c r="D5" s="10">
        <v>1.894</v>
      </c>
      <c r="E5" s="10">
        <v>1.941</v>
      </c>
      <c r="F5" s="10">
        <v>3.729884178321678</v>
      </c>
      <c r="G5" s="10">
        <v>3.4364999999999997</v>
      </c>
      <c r="H5" s="10">
        <v>3.5549999999999997</v>
      </c>
      <c r="I5" s="10">
        <v>2.683</v>
      </c>
      <c r="J5" s="10">
        <v>0.309</v>
      </c>
      <c r="K5" s="21">
        <v>1.9545</v>
      </c>
    </row>
    <row r="6">
      <c r="A6" s="4" t="s">
        <v>15</v>
      </c>
      <c r="B6" s="6">
        <v>0.3015</v>
      </c>
      <c r="C6" s="6">
        <v>0.179</v>
      </c>
      <c r="D6" s="6">
        <v>0.13</v>
      </c>
      <c r="E6" s="6">
        <v>0.133</v>
      </c>
      <c r="F6" s="6">
        <v>0.33153387096774195</v>
      </c>
      <c r="G6" s="6">
        <v>0.3105</v>
      </c>
      <c r="H6" s="6">
        <v>0.27549999999999997</v>
      </c>
      <c r="I6" s="6">
        <v>0.21050000000000002</v>
      </c>
      <c r="J6" s="6">
        <v>0.022</v>
      </c>
      <c r="K6" s="19">
        <v>0.15350000000000003</v>
      </c>
    </row>
    <row r="7">
      <c r="A7" s="8" t="s">
        <v>16</v>
      </c>
      <c r="B7" s="10">
        <v>1.5945E-5</v>
      </c>
      <c r="C7" s="10">
        <v>1.453E-5</v>
      </c>
      <c r="D7" s="10">
        <v>1.451E-5</v>
      </c>
      <c r="E7" s="10">
        <v>1.453E-5</v>
      </c>
      <c r="F7" s="10">
        <v>1.734E-5</v>
      </c>
      <c r="G7" s="10">
        <v>1.72E-5</v>
      </c>
      <c r="H7" s="10">
        <v>1.6005E-5</v>
      </c>
      <c r="I7" s="10">
        <v>1.5925E-5</v>
      </c>
      <c r="J7" s="10">
        <v>1.439E-5</v>
      </c>
      <c r="K7" s="21">
        <v>1.5904999999999998E-5</v>
      </c>
    </row>
    <row r="8">
      <c r="A8" s="4" t="s">
        <v>17</v>
      </c>
      <c r="B8" s="6">
        <v>3501.165</v>
      </c>
      <c r="C8" s="6">
        <v>2391.366</v>
      </c>
      <c r="D8" s="6">
        <v>1736.231</v>
      </c>
      <c r="E8" s="6">
        <v>1774.087</v>
      </c>
      <c r="F8" s="6">
        <v>3390.906155107362</v>
      </c>
      <c r="G8" s="6">
        <v>3174.37</v>
      </c>
      <c r="H8" s="6">
        <v>3215.0815000000002</v>
      </c>
      <c r="I8" s="6">
        <v>2447.571</v>
      </c>
      <c r="J8" s="6">
        <v>286.801</v>
      </c>
      <c r="K8" s="19">
        <v>1788.0555</v>
      </c>
    </row>
    <row r="9">
      <c r="A9" s="8" t="s">
        <v>18</v>
      </c>
      <c r="B9" s="10">
        <v>0.96154</v>
      </c>
      <c r="C9" s="10">
        <v>0.95924</v>
      </c>
      <c r="D9" s="10">
        <v>0.95876</v>
      </c>
      <c r="E9" s="10">
        <v>0.95859</v>
      </c>
      <c r="F9" s="10">
        <v>0.8635609276478984</v>
      </c>
      <c r="G9" s="10">
        <v>0.65445</v>
      </c>
      <c r="H9" s="10">
        <v>0.96699</v>
      </c>
      <c r="I9" s="10">
        <v>0.9591700000000001</v>
      </c>
      <c r="J9" s="10">
        <v>0.95163</v>
      </c>
      <c r="K9" s="21">
        <v>0.92461</v>
      </c>
    </row>
    <row r="10">
      <c r="A10" s="4" t="s">
        <v>19</v>
      </c>
      <c r="B10" s="6">
        <v>0.961545</v>
      </c>
      <c r="C10" s="6">
        <v>0.95925</v>
      </c>
      <c r="D10" s="6">
        <v>0.95876</v>
      </c>
      <c r="E10" s="6">
        <v>0.95859</v>
      </c>
      <c r="F10" s="6">
        <v>0.8943046933207772</v>
      </c>
      <c r="G10" s="6">
        <v>0.6782</v>
      </c>
      <c r="H10" s="6">
        <v>0.96699</v>
      </c>
      <c r="I10" s="6">
        <v>0.9591799999999999</v>
      </c>
      <c r="J10" s="6">
        <v>0.95163</v>
      </c>
      <c r="K10" s="19">
        <v>0.9246300000000001</v>
      </c>
    </row>
    <row r="11">
      <c r="A11" s="8" t="s">
        <v>20</v>
      </c>
      <c r="B11" s="10">
        <v>0.96154</v>
      </c>
      <c r="C11" s="10">
        <v>0.95924</v>
      </c>
      <c r="D11" s="10">
        <v>0.95876</v>
      </c>
      <c r="E11" s="10">
        <v>0.95859</v>
      </c>
      <c r="F11" s="10">
        <v>0.8635609276478984</v>
      </c>
      <c r="G11" s="10">
        <v>0.65445</v>
      </c>
      <c r="H11" s="10">
        <v>0.96699</v>
      </c>
      <c r="I11" s="10">
        <v>0.9591700000000001</v>
      </c>
      <c r="J11" s="10">
        <v>0.95163</v>
      </c>
      <c r="K11" s="21">
        <v>0.92461</v>
      </c>
    </row>
    <row r="12">
      <c r="A12" s="4" t="s">
        <v>21</v>
      </c>
      <c r="B12" s="6">
        <v>0.961535</v>
      </c>
      <c r="C12" s="6">
        <v>0.95923</v>
      </c>
      <c r="D12" s="6">
        <v>0.95876</v>
      </c>
      <c r="E12" s="6">
        <v>0.95858</v>
      </c>
      <c r="F12" s="6">
        <v>0.8375095272087156</v>
      </c>
      <c r="G12" s="6">
        <v>0.634575</v>
      </c>
      <c r="H12" s="6">
        <v>0.96699</v>
      </c>
      <c r="I12" s="6">
        <v>0.9591700000000001</v>
      </c>
      <c r="J12" s="6">
        <v>0.95163</v>
      </c>
      <c r="K12" s="19">
        <v>0.92461</v>
      </c>
    </row>
    <row r="13">
      <c r="A13" s="14" t="s">
        <v>22</v>
      </c>
      <c r="B13" s="16">
        <v>0.991365</v>
      </c>
      <c r="C13" s="16">
        <v>0.98787</v>
      </c>
      <c r="D13" s="16">
        <v>0.99063</v>
      </c>
      <c r="E13" s="16">
        <v>0.99057</v>
      </c>
      <c r="F13" s="16">
        <v>0.9370836788410128</v>
      </c>
      <c r="G13" s="16">
        <v>0.7230449999999999</v>
      </c>
      <c r="H13" s="16">
        <v>0.99304</v>
      </c>
      <c r="I13" s="16">
        <v>0.99041</v>
      </c>
      <c r="J13" s="16">
        <v>0.98876</v>
      </c>
      <c r="K13" s="23">
        <v>0.97759</v>
      </c>
    </row>
  </sheetData>
  <dataValidations>
    <dataValidation type="custom" allowBlank="1" showDropDown="1" sqref="B2:K13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19.38"/>
    <col customWidth="1" min="3" max="3" width="30.88"/>
    <col customWidth="1" min="4" max="4" width="23.13"/>
    <col customWidth="1" min="5" max="5" width="24.88"/>
    <col customWidth="1" min="6" max="6" width="21.38"/>
    <col customWidth="1" min="7" max="7" width="26.88"/>
    <col customWidth="1" min="8" max="8" width="22.38"/>
    <col customWidth="1" min="9" max="9" width="33.88"/>
    <col customWidth="1" min="10" max="10" width="15.75"/>
    <col customWidth="1" min="11" max="11" width="1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 t="s">
        <v>11</v>
      </c>
      <c r="B2" s="6">
        <f t="array" ref="B2">AVERAGEIF({Trial1!B2,Trial2!B2,Trial3!B2}, "&lt;&gt;0")
</f>
        <v>7.197</v>
      </c>
      <c r="C2" s="6">
        <f t="array" ref="C2">AVERAGEIF({Trial1!C2,Trial2!C2,Trial3!C2}, "&lt;&gt;0")
</f>
        <v>4.887</v>
      </c>
      <c r="D2" s="6">
        <f t="array" ref="D2">AVERAGEIF({Trial1!D2,Trial2!D2,Trial3!D2}, "&lt;&gt;0")
</f>
        <v>3.363666667</v>
      </c>
      <c r="E2" s="6">
        <f t="array" ref="E2">AVERAGEIF({Trial1!E2,Trial2!E2,Trial3!E2}, "&lt;&gt;0")
</f>
        <v>3.589333333</v>
      </c>
      <c r="F2" s="6">
        <f t="array" ref="F2">AVERAGEIF({Trial1!F2,Trial2!F2,Trial3!F2}, "&lt;&gt;0")
</f>
        <v>7.593151618</v>
      </c>
      <c r="G2" s="6">
        <f t="array" ref="G2">AVERAGEIF({Trial1!G2,Trial2!G2,Trial3!G2}, "&lt;&gt;0")
</f>
        <v>7.0525</v>
      </c>
      <c r="H2" s="6">
        <f t="array" ref="H2">AVERAGEIF({Trial1!H2,Trial2!H2,Trial3!H2}, "&lt;&gt;0")
</f>
        <v>6.6075</v>
      </c>
      <c r="I2" s="6">
        <f t="array" ref="I2">AVERAGEIF({Trial1!I2,Trial2!I2,Trial3!I2}, "&lt;&gt;0")
</f>
        <v>5.02604</v>
      </c>
      <c r="J2" s="6">
        <f t="array" ref="J2">AVERAGEIF({Trial1!J2,Trial2!J2,Trial3!J2}, "&lt;&gt;0")
</f>
        <v>0.6286666667</v>
      </c>
      <c r="K2" s="19">
        <f t="array" ref="K2">AVERAGEIF({Trial1!K2,Trial2!K2,Trial3!K2}, "&lt;&gt;0")
</f>
        <v>3.6625</v>
      </c>
    </row>
    <row r="3">
      <c r="A3" s="8" t="s">
        <v>12</v>
      </c>
      <c r="B3" s="10">
        <f t="array" ref="B3">AVERAGEIF({Trial1!B3,Trial2!B3,Trial3!B3}, "&lt;&gt;0")
</f>
        <v>3.366</v>
      </c>
      <c r="C3" s="10">
        <f t="array" ref="C3">AVERAGEIF({Trial1!C3,Trial2!C3,Trial3!C3}, "&lt;&gt;0")
</f>
        <v>2.27</v>
      </c>
      <c r="D3" s="10">
        <f t="array" ref="D3">AVERAGEIF({Trial1!D3,Trial2!D3,Trial3!D3}, "&lt;&gt;0")
</f>
        <v>1.562666667</v>
      </c>
      <c r="E3" s="10">
        <f t="array" ref="E3">AVERAGEIF({Trial1!E3,Trial2!E3,Trial3!E3}, "&lt;&gt;0")
</f>
        <v>1.667333333</v>
      </c>
      <c r="F3" s="10">
        <f t="array" ref="F3">AVERAGEIF({Trial1!F3,Trial2!F3,Trial3!F3}, "&lt;&gt;0")
</f>
        <v>3.527768408</v>
      </c>
      <c r="G3" s="10">
        <f t="array" ref="G3">AVERAGEIF({Trial1!G3,Trial2!G3,Trial3!G3}, "&lt;&gt;0")
</f>
        <v>3.2765</v>
      </c>
      <c r="H3" s="10">
        <f t="array" ref="H3">AVERAGEIF({Trial1!H3,Trial2!H3,Trial3!H3}, "&lt;&gt;0")
</f>
        <v>3.0695</v>
      </c>
      <c r="I3" s="10">
        <f t="array" ref="I3">AVERAGEIF({Trial1!I3,Trial2!I3,Trial3!I3}, "&lt;&gt;0")
</f>
        <v>2.33507</v>
      </c>
      <c r="J3" s="10">
        <f t="array" ref="J3">AVERAGEIF({Trial1!J3,Trial2!J3,Trial3!J3}, "&lt;&gt;0")
</f>
        <v>0.2923333333</v>
      </c>
      <c r="K3" s="21">
        <f t="array" ref="K3">AVERAGEIF({Trial1!K3,Trial2!K3,Trial3!K3}, "&lt;&gt;0")
</f>
        <v>1.7015</v>
      </c>
    </row>
    <row r="4">
      <c r="A4" s="4" t="s">
        <v>13</v>
      </c>
      <c r="B4" s="6">
        <f t="array" ref="B4">AVERAGEIF({Trial1!B4,Trial2!B4,Trial3!B4}, "&lt;&gt;0")
</f>
        <v>3.05</v>
      </c>
      <c r="C4" s="6">
        <f t="array" ref="C4">AVERAGEIF({Trial1!C4,Trial2!C4,Trial3!C4}, "&lt;&gt;0")
</f>
        <v>2.137666667</v>
      </c>
      <c r="D4" s="6">
        <f t="array" ref="D4">AVERAGEIF({Trial1!D4,Trial2!D4,Trial3!D4}, "&lt;&gt;0")
</f>
        <v>1.375333333</v>
      </c>
      <c r="E4" s="6">
        <f t="array" ref="E4">AVERAGEIF({Trial1!E4,Trial2!E4,Trial3!E4}, "&lt;&gt;0")
</f>
        <v>1.575666667</v>
      </c>
      <c r="F4" s="6">
        <f t="array" ref="F4">AVERAGEIF({Trial1!F4,Trial2!F4,Trial3!F4}, "&lt;&gt;0")
</f>
        <v>3.531739552</v>
      </c>
      <c r="G4" s="6">
        <f t="array" ref="G4">AVERAGEIF({Trial1!G4,Trial2!G4,Trial3!G4}, "&lt;&gt;0")
</f>
        <v>3.3055</v>
      </c>
      <c r="H4" s="6">
        <f t="array" ref="H4">AVERAGEIF({Trial1!H4,Trial2!H4,Trial3!H4}, "&lt;&gt;0")
</f>
        <v>2.7775</v>
      </c>
      <c r="I4" s="6">
        <f t="array" ref="I4">AVERAGEIF({Trial1!I4,Trial2!I4,Trial3!I4}, "&lt;&gt;0")
</f>
        <v>2.1325</v>
      </c>
      <c r="J4" s="6">
        <f t="array" ref="J4">AVERAGEIF({Trial1!J4,Trial2!J4,Trial3!J4}, "&lt;&gt;0")
</f>
        <v>0.279</v>
      </c>
      <c r="K4" s="19">
        <f t="array" ref="K4">AVERAGEIF({Trial1!K4,Trial2!K4,Trial3!K4}, "&lt;&gt;0")
</f>
        <v>1.5545</v>
      </c>
    </row>
    <row r="5">
      <c r="A5" s="8" t="s">
        <v>14</v>
      </c>
      <c r="B5" s="10">
        <f t="array" ref="B5">AVERAGEIF({Trial1!B5,Trial2!B5,Trial3!B5}, "&lt;&gt;0")
</f>
        <v>3.8455</v>
      </c>
      <c r="C5" s="10">
        <f t="array" ref="C5">AVERAGEIF({Trial1!C5,Trial2!C5,Trial3!C5}, "&lt;&gt;0")
</f>
        <v>2.538333333</v>
      </c>
      <c r="D5" s="10">
        <f t="array" ref="D5">AVERAGEIF({Trial1!D5,Trial2!D5,Trial3!D5}, "&lt;&gt;0")
</f>
        <v>1.849666667</v>
      </c>
      <c r="E5" s="10">
        <f t="array" ref="E5">AVERAGEIF({Trial1!E5,Trial2!E5,Trial3!E5}, "&lt;&gt;0")
</f>
        <v>1.861</v>
      </c>
      <c r="F5" s="10">
        <f t="array" ref="F5">AVERAGEIF({Trial1!F5,Trial2!F5,Trial3!F5}, "&lt;&gt;0")
</f>
        <v>3.729884178</v>
      </c>
      <c r="G5" s="10">
        <f t="array" ref="G5">AVERAGEIF({Trial1!G5,Trial2!G5,Trial3!G5}, "&lt;&gt;0")
</f>
        <v>3.4365</v>
      </c>
      <c r="H5" s="10">
        <f t="array" ref="H5">AVERAGEIF({Trial1!H5,Trial2!H5,Trial3!H5}, "&lt;&gt;0")
</f>
        <v>3.555</v>
      </c>
      <c r="I5" s="10">
        <f t="array" ref="I5">AVERAGEIF({Trial1!I5,Trial2!I5,Trial3!I5}, "&lt;&gt;0")
</f>
        <v>2.683</v>
      </c>
      <c r="J5" s="10">
        <f t="array" ref="J5">AVERAGEIF({Trial1!J5,Trial2!J5,Trial3!J5}, "&lt;&gt;0")
</f>
        <v>0.3233333333</v>
      </c>
      <c r="K5" s="21">
        <f t="array" ref="K5">AVERAGEIF({Trial1!K5,Trial2!K5,Trial3!K5}, "&lt;&gt;0")
</f>
        <v>1.9545</v>
      </c>
    </row>
    <row r="6">
      <c r="A6" s="4" t="s">
        <v>15</v>
      </c>
      <c r="B6" s="6">
        <f t="array" ref="B6">AVERAGEIF({Trial1!B6,Trial2!B6,Trial3!B6}, "&lt;&gt;0")
</f>
        <v>0.3015</v>
      </c>
      <c r="C6" s="6">
        <f t="array" ref="C6">AVERAGEIF({Trial1!C6,Trial2!C6,Trial3!C6}, "&lt;&gt;0")
</f>
        <v>0.2076666667</v>
      </c>
      <c r="D6" s="6">
        <f t="array" ref="D6">AVERAGEIF({Trial1!D6,Trial2!D6,Trial3!D6}, "&lt;&gt;0")
</f>
        <v>0.139</v>
      </c>
      <c r="E6" s="6">
        <f t="array" ref="E6">AVERAGEIF({Trial1!E6,Trial2!E6,Trial3!E6}, "&lt;&gt;0")
</f>
        <v>0.153</v>
      </c>
      <c r="F6" s="6">
        <f t="array" ref="F6">AVERAGEIF({Trial1!F6,Trial2!F6,Trial3!F6}, "&lt;&gt;0")
</f>
        <v>0.331533871</v>
      </c>
      <c r="G6" s="6">
        <f t="array" ref="G6">AVERAGEIF({Trial1!G6,Trial2!G6,Trial3!G6}, "&lt;&gt;0")
</f>
        <v>0.3105</v>
      </c>
      <c r="H6" s="6">
        <f t="array" ref="H6">AVERAGEIF({Trial1!H6,Trial2!H6,Trial3!H6}, "&lt;&gt;0")
</f>
        <v>0.2755</v>
      </c>
      <c r="I6" s="6">
        <f t="array" ref="I6">AVERAGEIF({Trial1!I6,Trial2!I6,Trial3!I6}, "&lt;&gt;0")
</f>
        <v>0.2105</v>
      </c>
      <c r="J6" s="6">
        <f t="array" ref="J6">AVERAGEIF({Trial1!J6,Trial2!J6,Trial3!J6}, "&lt;&gt;0")
</f>
        <v>0.027</v>
      </c>
      <c r="K6" s="19">
        <f t="array" ref="K6">AVERAGEIF({Trial1!K6,Trial2!K6,Trial3!K6}, "&lt;&gt;0")
</f>
        <v>0.1535</v>
      </c>
    </row>
    <row r="7">
      <c r="A7" s="8" t="s">
        <v>16</v>
      </c>
      <c r="B7" s="10">
        <f t="array" ref="B7">AVERAGEIF({Trial1!B7,Trial2!B7,Trial3!B7}, "&lt;&gt;0")
</f>
        <v>0.000015945</v>
      </c>
      <c r="C7" s="10">
        <f t="array" ref="C7">AVERAGEIF({Trial1!C7,Trial2!C7,Trial3!C7}, "&lt;&gt;0")
</f>
        <v>0.00001640666667</v>
      </c>
      <c r="D7" s="10">
        <f t="array" ref="D7">AVERAGEIF({Trial1!D7,Trial2!D7,Trial3!D7}, "&lt;&gt;0")
</f>
        <v>0.00001545333333</v>
      </c>
      <c r="E7" s="10">
        <f t="array" ref="E7">AVERAGEIF({Trial1!E7,Trial2!E7,Trial3!E7}, "&lt;&gt;0")
</f>
        <v>0.00001636666667</v>
      </c>
      <c r="F7" s="10">
        <f t="array" ref="F7">AVERAGEIF({Trial1!F7,Trial2!F7,Trial3!F7}, "&lt;&gt;0")
</f>
        <v>0.00001734</v>
      </c>
      <c r="G7" s="10">
        <f t="array" ref="G7">AVERAGEIF({Trial1!G7,Trial2!G7,Trial3!G7}, "&lt;&gt;0")
</f>
        <v>0.0000172</v>
      </c>
      <c r="H7" s="10">
        <f t="array" ref="H7">AVERAGEIF({Trial1!H7,Trial2!H7,Trial3!H7}, "&lt;&gt;0")
</f>
        <v>0.000016005</v>
      </c>
      <c r="I7" s="10">
        <f t="array" ref="I7">AVERAGEIF({Trial1!I7,Trial2!I7,Trial3!I7}, "&lt;&gt;0")
</f>
        <v>0.000015925</v>
      </c>
      <c r="J7" s="10">
        <f t="array" ref="J7">AVERAGEIF({Trial1!J7,Trial2!J7,Trial3!J7}, "&lt;&gt;0")
</f>
        <v>0.00001628333333</v>
      </c>
      <c r="K7" s="21">
        <f t="array" ref="K7">AVERAGEIF({Trial1!K7,Trial2!K7,Trial3!K7}, "&lt;&gt;0")
</f>
        <v>0.000015905</v>
      </c>
    </row>
    <row r="8">
      <c r="A8" s="4" t="s">
        <v>17</v>
      </c>
      <c r="B8" s="6">
        <f t="array" ref="B8">AVERAGEIF({Trial1!B8,Trial2!B8,Trial3!B8}, "&lt;&gt;0")
</f>
        <v>3501.165</v>
      </c>
      <c r="C8" s="6">
        <f t="array" ref="C8">AVERAGEIF({Trial1!C8,Trial2!C8,Trial3!C8}, "&lt;&gt;0")
</f>
        <v>2310.685667</v>
      </c>
      <c r="D8" s="6">
        <f t="array" ref="D8">AVERAGEIF({Trial1!D8,Trial2!D8,Trial3!D8}, "&lt;&gt;0")
</f>
        <v>1691.023333</v>
      </c>
      <c r="E8" s="6">
        <f t="array" ref="E8">AVERAGEIF({Trial1!E8,Trial2!E8,Trial3!E8}, "&lt;&gt;0")
</f>
        <v>1702.099333</v>
      </c>
      <c r="F8" s="6">
        <f t="array" ref="F8">AVERAGEIF({Trial1!F8,Trial2!F8,Trial3!F8}, "&lt;&gt;0")
</f>
        <v>3390.906155</v>
      </c>
      <c r="G8" s="6">
        <f t="array" ref="G8">AVERAGEIF({Trial1!G8,Trial2!G8,Trial3!G8}, "&lt;&gt;0")
</f>
        <v>3174.37</v>
      </c>
      <c r="H8" s="6">
        <f t="array" ref="H8">AVERAGEIF({Trial1!H8,Trial2!H8,Trial3!H8}, "&lt;&gt;0")
</f>
        <v>3215.0815</v>
      </c>
      <c r="I8" s="6">
        <f t="array" ref="I8">AVERAGEIF({Trial1!I8,Trial2!I8,Trial3!I8}, "&lt;&gt;0")
</f>
        <v>2447.571</v>
      </c>
      <c r="J8" s="6">
        <f t="array" ref="J8">AVERAGEIF({Trial1!J8,Trial2!J8,Trial3!J8}, "&lt;&gt;0")
</f>
        <v>298.4453333</v>
      </c>
      <c r="K8" s="19">
        <f t="array" ref="K8">AVERAGEIF({Trial1!K8,Trial2!K8,Trial3!K8}, "&lt;&gt;0")
</f>
        <v>1788.0555</v>
      </c>
    </row>
    <row r="9">
      <c r="A9" s="8" t="s">
        <v>18</v>
      </c>
      <c r="B9" s="10">
        <f t="array" ref="B9">AVERAGEIF({Trial1!B9,Trial2!B9,Trial3!B9}, "&lt;&gt;0")
</f>
        <v>0.96154</v>
      </c>
      <c r="C9" s="10">
        <f t="array" ref="C9">AVERAGEIF({Trial1!C9,Trial2!C9,Trial3!C9}, "&lt;&gt;0")
</f>
        <v>0.9590033333</v>
      </c>
      <c r="D9" s="10">
        <f t="array" ref="D9">AVERAGEIF({Trial1!D9,Trial2!D9,Trial3!D9}, "&lt;&gt;0")
</f>
        <v>0.9588166667</v>
      </c>
      <c r="E9" s="10">
        <f t="array" ref="E9">AVERAGEIF({Trial1!E9,Trial2!E9,Trial3!E9}, "&lt;&gt;0")
</f>
        <v>0.9587166667</v>
      </c>
      <c r="F9" s="10">
        <f t="array" ref="F9">AVERAGEIF({Trial1!F9,Trial2!F9,Trial3!F9}, "&lt;&gt;0")
</f>
        <v>0.8635609276</v>
      </c>
      <c r="G9" s="10">
        <f t="array" ref="G9">AVERAGEIF({Trial1!G9,Trial2!G9,Trial3!G9}, "&lt;&gt;0")
</f>
        <v>0.65445</v>
      </c>
      <c r="H9" s="10">
        <f t="array" ref="H9">AVERAGEIF({Trial1!H9,Trial2!H9,Trial3!H9}, "&lt;&gt;0")
</f>
        <v>0.96699</v>
      </c>
      <c r="I9" s="10">
        <f t="array" ref="I9">AVERAGEIF({Trial1!I9,Trial2!I9,Trial3!I9}, "&lt;&gt;0")
</f>
        <v>0.95917</v>
      </c>
      <c r="J9" s="10">
        <f t="array" ref="J9">AVERAGEIF({Trial1!J9,Trial2!J9,Trial3!J9}, "&lt;&gt;0")
</f>
        <v>0.9515433333</v>
      </c>
      <c r="K9" s="21">
        <f t="array" ref="K9">AVERAGEIF({Trial1!K9,Trial2!K9,Trial3!K9}, "&lt;&gt;0")
</f>
        <v>0.92461</v>
      </c>
    </row>
    <row r="10">
      <c r="A10" s="4" t="s">
        <v>19</v>
      </c>
      <c r="B10" s="6">
        <f t="array" ref="B10">AVERAGEIF({Trial1!B10,Trial2!B10,Trial3!B10}, "&lt;&gt;0")
</f>
        <v>0.961545</v>
      </c>
      <c r="C10" s="6">
        <f t="array" ref="C10">AVERAGEIF({Trial1!C10,Trial2!C10,Trial3!C10}, "&lt;&gt;0")
</f>
        <v>0.9590333333</v>
      </c>
      <c r="D10" s="6">
        <f t="array" ref="D10">AVERAGEIF({Trial1!D10,Trial2!D10,Trial3!D10}, "&lt;&gt;0")
</f>
        <v>0.9588166667</v>
      </c>
      <c r="E10" s="6">
        <f t="array" ref="E10">AVERAGEIF({Trial1!E10,Trial2!E10,Trial3!E10}, "&lt;&gt;0")
</f>
        <v>0.9587166667</v>
      </c>
      <c r="F10" s="6">
        <f t="array" ref="F10">AVERAGEIF({Trial1!F10,Trial2!F10,Trial3!F10}, "&lt;&gt;0")
</f>
        <v>0.8943046933</v>
      </c>
      <c r="G10" s="6">
        <f t="array" ref="G10">AVERAGEIF({Trial1!G10,Trial2!G10,Trial3!G10}, "&lt;&gt;0")
</f>
        <v>0.6782</v>
      </c>
      <c r="H10" s="6">
        <f t="array" ref="H10">AVERAGEIF({Trial1!H10,Trial2!H10,Trial3!H10}, "&lt;&gt;0")
</f>
        <v>0.96699</v>
      </c>
      <c r="I10" s="6">
        <f t="array" ref="I10">AVERAGEIF({Trial1!I10,Trial2!I10,Trial3!I10}, "&lt;&gt;0")
</f>
        <v>0.95918</v>
      </c>
      <c r="J10" s="6">
        <f t="array" ref="J10">AVERAGEIF({Trial1!J10,Trial2!J10,Trial3!J10}, "&lt;&gt;0")
</f>
        <v>0.9515433333</v>
      </c>
      <c r="K10" s="19">
        <f t="array" ref="K10">AVERAGEIF({Trial1!K10,Trial2!K10,Trial3!K10}, "&lt;&gt;0")
</f>
        <v>0.92463</v>
      </c>
    </row>
    <row r="11">
      <c r="A11" s="8" t="s">
        <v>20</v>
      </c>
      <c r="B11" s="10">
        <f t="array" ref="B11">AVERAGEIF({Trial1!B11,Trial2!B11,Trial3!B11}, "&lt;&gt;0")
</f>
        <v>0.96154</v>
      </c>
      <c r="C11" s="10">
        <f t="array" ref="C11">AVERAGEIF({Trial1!C11,Trial2!C11,Trial3!C11}, "&lt;&gt;0")
</f>
        <v>0.9590033333</v>
      </c>
      <c r="D11" s="10">
        <f t="array" ref="D11">AVERAGEIF({Trial1!D11,Trial2!D11,Trial3!D11}, "&lt;&gt;0")
</f>
        <v>0.9588166667</v>
      </c>
      <c r="E11" s="10">
        <f t="array" ref="E11">AVERAGEIF({Trial1!E11,Trial2!E11,Trial3!E11}, "&lt;&gt;0")
</f>
        <v>0.9587166667</v>
      </c>
      <c r="F11" s="10">
        <f t="array" ref="F11">AVERAGEIF({Trial1!F11,Trial2!F11,Trial3!F11}, "&lt;&gt;0")
</f>
        <v>0.8635609276</v>
      </c>
      <c r="G11" s="10">
        <f t="array" ref="G11">AVERAGEIF({Trial1!G11,Trial2!G11,Trial3!G11}, "&lt;&gt;0")
</f>
        <v>0.65445</v>
      </c>
      <c r="H11" s="10">
        <f t="array" ref="H11">AVERAGEIF({Trial1!H11,Trial2!H11,Trial3!H11}, "&lt;&gt;0")
</f>
        <v>0.96699</v>
      </c>
      <c r="I11" s="10">
        <f t="array" ref="I11">AVERAGEIF({Trial1!I11,Trial2!I11,Trial3!I11}, "&lt;&gt;0")
</f>
        <v>0.95917</v>
      </c>
      <c r="J11" s="10">
        <f t="array" ref="J11">AVERAGEIF({Trial1!J11,Trial2!J11,Trial3!J11}, "&lt;&gt;0")
</f>
        <v>0.9515433333</v>
      </c>
      <c r="K11" s="21">
        <f t="array" ref="K11">AVERAGEIF({Trial1!K11,Trial2!K11,Trial3!K11}, "&lt;&gt;0")
</f>
        <v>0.92461</v>
      </c>
    </row>
    <row r="12">
      <c r="A12" s="4" t="s">
        <v>21</v>
      </c>
      <c r="B12" s="6">
        <f t="array" ref="B12">AVERAGEIF({Trial1!B12,Trial2!B12,Trial3!B12}, "&lt;&gt;0")
</f>
        <v>0.961535</v>
      </c>
      <c r="C12" s="6">
        <f t="array" ref="C12">AVERAGEIF({Trial1!C12,Trial2!C12,Trial3!C12}, "&lt;&gt;0")
</f>
        <v>0.959</v>
      </c>
      <c r="D12" s="6">
        <f t="array" ref="D12">AVERAGEIF({Trial1!D12,Trial2!D12,Trial3!D12}, "&lt;&gt;0")
</f>
        <v>0.9588133333</v>
      </c>
      <c r="E12" s="6">
        <f t="array" ref="E12">AVERAGEIF({Trial1!E12,Trial2!E12,Trial3!E12}, "&lt;&gt;0")
</f>
        <v>0.9587066667</v>
      </c>
      <c r="F12" s="6">
        <f t="array" ref="F12">AVERAGEIF({Trial1!F12,Trial2!F12,Trial3!F12}, "&lt;&gt;0")
</f>
        <v>0.8375095272</v>
      </c>
      <c r="G12" s="6">
        <f t="array" ref="G12">AVERAGEIF({Trial1!G12,Trial2!G12,Trial3!G12}, "&lt;&gt;0")
</f>
        <v>0.634575</v>
      </c>
      <c r="H12" s="6">
        <f t="array" ref="H12">AVERAGEIF({Trial1!H12,Trial2!H12,Trial3!H12}, "&lt;&gt;0")
</f>
        <v>0.96699</v>
      </c>
      <c r="I12" s="6">
        <f t="array" ref="I12">AVERAGEIF({Trial1!I12,Trial2!I12,Trial3!I12}, "&lt;&gt;0")
</f>
        <v>0.95917</v>
      </c>
      <c r="J12" s="6">
        <f t="array" ref="J12">AVERAGEIF({Trial1!J12,Trial2!J12,Trial3!J12}, "&lt;&gt;0")
</f>
        <v>0.9515433333</v>
      </c>
      <c r="K12" s="19">
        <f t="array" ref="K12">AVERAGEIF({Trial1!K12,Trial2!K12,Trial3!K12}, "&lt;&gt;0")
</f>
        <v>0.92461</v>
      </c>
    </row>
    <row r="13">
      <c r="A13" s="14" t="s">
        <v>22</v>
      </c>
      <c r="B13" s="16">
        <f t="array" ref="B13">AVERAGEIF({Trial1!B13,Trial2!B13,Trial3!B13}, "&lt;&gt;0")
</f>
        <v>0.991365</v>
      </c>
      <c r="C13" s="16">
        <f t="array" ref="C13">AVERAGEIF({Trial1!C13,Trial2!C13,Trial3!C13}, "&lt;&gt;0")
</f>
        <v>0.9887133333</v>
      </c>
      <c r="D13" s="16">
        <f t="array" ref="D13">AVERAGEIF({Trial1!D13,Trial2!D13,Trial3!D13}, "&lt;&gt;0")
</f>
        <v>0.9906333333</v>
      </c>
      <c r="E13" s="16">
        <f t="array" ref="E13">AVERAGEIF({Trial1!E13,Trial2!E13,Trial3!E13}, "&lt;&gt;0")
</f>
        <v>0.99062</v>
      </c>
      <c r="F13" s="16">
        <f t="array" ref="F13">AVERAGEIF({Trial1!F13,Trial2!F13,Trial3!F13}, "&lt;&gt;0")
</f>
        <v>0.9370836788</v>
      </c>
      <c r="G13" s="16">
        <f t="array" ref="G13">AVERAGEIF({Trial1!G13,Trial2!G13,Trial3!G13}, "&lt;&gt;0")
</f>
        <v>0.723045</v>
      </c>
      <c r="H13" s="16">
        <f t="array" ref="H13">AVERAGEIF({Trial1!H13,Trial2!H13,Trial3!H13}, "&lt;&gt;0")
</f>
        <v>0.99304</v>
      </c>
      <c r="I13" s="16">
        <f t="array" ref="I13">AVERAGEIF({Trial1!I13,Trial2!I13,Trial3!I13}, "&lt;&gt;0")
</f>
        <v>0.99041</v>
      </c>
      <c r="J13" s="16">
        <f t="array" ref="J13">AVERAGEIF({Trial1!J13,Trial2!J13,Trial3!J13}, "&lt;&gt;0")
</f>
        <v>0.9887566667</v>
      </c>
      <c r="K13" s="23">
        <f t="array" ref="K13">AVERAGEIF({Trial1!K13,Trial2!K13,Trial3!K13}, "&lt;&gt;0")
</f>
        <v>0.97759</v>
      </c>
    </row>
    <row r="15">
      <c r="B15" s="24"/>
      <c r="C15" s="24"/>
      <c r="D15" s="24"/>
      <c r="E15" s="24"/>
    </row>
    <row r="16">
      <c r="B16" s="25"/>
      <c r="C16" s="25"/>
      <c r="D16" s="25"/>
      <c r="E16" s="25"/>
    </row>
  </sheetData>
  <dataValidations>
    <dataValidation type="custom" allowBlank="1" showDropDown="1" sqref="B2:K13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9.38"/>
    <col customWidth="1" min="3" max="3" width="30.88"/>
    <col customWidth="1" min="4" max="4" width="23.13"/>
    <col customWidth="1" min="5" max="5" width="24.88"/>
    <col customWidth="1" min="6" max="6" width="21.38"/>
    <col customWidth="1" min="7" max="7" width="26.88"/>
    <col customWidth="1" min="8" max="8" width="22.38"/>
    <col customWidth="1" min="9" max="9" width="33.88"/>
    <col customWidth="1" min="10" max="10" width="15.75"/>
    <col customWidth="1" min="11" max="11" width="1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 t="s">
        <v>11</v>
      </c>
      <c r="B2" s="6">
        <f>IFERROR(__xludf.DUMMYFUNCTION("STDEV.S(FILTER({Trial1!B2,Trial2!B2,Trial3!B2}, {Trial1!B2,Trial2!B2,Trial3!B2}&lt;&gt;0))
"),0.46699999999999964)</f>
        <v>0.467</v>
      </c>
      <c r="C2" s="6">
        <f>IFERROR(__xludf.DUMMYFUNCTION("STDEV.S(FILTER({Trial1!C2,Trial2!C2,Trial3!C2}, {Trial1!C2,Trial2!C2,Trial3!C2}&lt;&gt;0))
"),0.4046566445766092)</f>
        <v>0.4046566446</v>
      </c>
      <c r="D2" s="6">
        <f>IFERROR(__xludf.DUMMYFUNCTION("STDEV.S(FILTER({Trial1!D2,Trial2!D2,Trial3!D2}, {Trial1!D2,Trial2!D2,Trial3!D2}&lt;&gt;0))
"),0.19428415615621702)</f>
        <v>0.1942841562</v>
      </c>
      <c r="E2" s="6">
        <f>IFERROR(__xludf.DUMMYFUNCTION("STDEV.S(FILTER({Trial1!E2,Trial2!E2,Trial3!E2}, {Trial1!E2,Trial2!E2,Trial3!E2}&lt;&gt;0))
"),0.24346731471253677)</f>
        <v>0.2434673147</v>
      </c>
      <c r="F2" s="6">
        <f>IFERROR(__xludf.DUMMYFUNCTION("STDEV.S(FILTER({Trial1!F2,Trial2!F2,Trial3!F2}, {Trial1!F2,Trial2!F2,Trial3!F2}&lt;&gt;0))
"),0.009151618398637318)</f>
        <v>0.009151618399</v>
      </c>
      <c r="G2" s="6">
        <f>IFERROR(__xludf.DUMMYFUNCTION("STDEV.S(FILTER({Trial1!G2,Trial2!G2,Trial3!G2}, {Trial1!G2,Trial2!G2,Trial3!G2}&lt;&gt;0))
"),0.008500000000000396)</f>
        <v>0.0085</v>
      </c>
      <c r="H2" s="6">
        <f>IFERROR(__xludf.DUMMYFUNCTION("STDEV.S(FILTER({Trial1!H2,Trial2!H2,Trial3!H2}, {Trial1!H2,Trial2!H2,Trial3!H2}&lt;&gt;0))
"),0.15949999999999975)</f>
        <v>0.1595</v>
      </c>
      <c r="I2" s="6">
        <f>IFERROR(__xludf.DUMMYFUNCTION("STDEV.S(FILTER({Trial1!I2,Trial2!I2,Trial3!I2}, {Trial1!I2,Trial2!I2,Trial3!I2}&lt;&gt;0))
"),0.3340399999999999)</f>
        <v>0.33404</v>
      </c>
      <c r="J2" s="6">
        <f>IFERROR(__xludf.DUMMYFUNCTION("STDEV.S(FILTER({Trial1!J2,Trial2!J2,Trial3!J2}, {Trial1!J2,Trial2!J2,Trial3!J2}&lt;&gt;0))
"),0.10318107061536691)</f>
        <v>0.1031810706</v>
      </c>
      <c r="K2" s="19">
        <f>IFERROR(__xludf.DUMMYFUNCTION("STDEV.S(FILTER({Trial1!K2,Trial2!K2,Trial3!K2}, {Trial1!K2,Trial2!K2,Trial3!K2}&lt;&gt;0))
"),0.2094999999999999)</f>
        <v>0.2095</v>
      </c>
    </row>
    <row r="3">
      <c r="A3" s="8" t="s">
        <v>12</v>
      </c>
      <c r="B3" s="10">
        <f>IFERROR(__xludf.DUMMYFUNCTION("STDEV.S(FILTER({Trial1!B3,Trial2!B3,Trial3!B3}, {Trial1!B3,Trial2!B3,Trial3!B3}&lt;&gt;0))
"),0.19399999999999995)</f>
        <v>0.194</v>
      </c>
      <c r="C3" s="10">
        <f>IFERROR(__xludf.DUMMYFUNCTION("STDEV.S(FILTER({Trial1!C3,Trial2!C3,Trial3!C3}, {Trial1!C3,Trial2!C3,Trial3!C3}&lt;&gt;0))
"),0.18807179480187877)</f>
        <v>0.1880717948</v>
      </c>
      <c r="D3" s="10">
        <f>IFERROR(__xludf.DUMMYFUNCTION("STDEV.S(FILTER({Trial1!D3,Trial2!D3,Trial3!D3}, {Trial1!D3,Trial2!D3,Trial3!D3}&lt;&gt;0))
"),0.09035670054474843)</f>
        <v>0.09035670054</v>
      </c>
      <c r="E3" s="10">
        <f>IFERROR(__xludf.DUMMYFUNCTION("STDEV.S(FILTER({Trial1!E3,Trial2!E3,Trial3!E3}, {Trial1!E3,Trial2!E3,Trial3!E3}&lt;&gt;0))
"),0.11292622960735624)</f>
        <v>0.1129262296</v>
      </c>
      <c r="F3" s="10">
        <f>IFERROR(__xludf.DUMMYFUNCTION("STDEV.S(FILTER({Trial1!F3,Trial2!F3,Trial3!F3}, {Trial1!F3,Trial2!F3,Trial3!F3}&lt;&gt;0))
"),0.0037684081882063403)</f>
        <v>0.003768408188</v>
      </c>
      <c r="G3" s="10">
        <f>IFERROR(__xludf.DUMMYFUNCTION("STDEV.S(FILTER({Trial1!G3,Trial2!G3,Trial3!G3}, {Trial1!G3,Trial2!G3,Trial3!G3}&lt;&gt;0))
"),0.0034999999999998366)</f>
        <v>0.0035</v>
      </c>
      <c r="H3" s="10">
        <f>IFERROR(__xludf.DUMMYFUNCTION("STDEV.S(FILTER({Trial1!H3,Trial2!H3,Trial3!H3}, {Trial1!H3,Trial2!H3,Trial3!H3}&lt;&gt;0))
"),0.07450000000000001)</f>
        <v>0.0745</v>
      </c>
      <c r="I3" s="10">
        <f>IFERROR(__xludf.DUMMYFUNCTION("STDEV.S(FILTER({Trial1!I3,Trial2!I3,Trial3!I3}, {Trial1!I3,Trial2!I3,Trial3!I3}&lt;&gt;0))
"),0.15506999999999982)</f>
        <v>0.15507</v>
      </c>
      <c r="J3" s="10">
        <f>IFERROR(__xludf.DUMMYFUNCTION("STDEV.S(FILTER({Trial1!J3,Trial2!J3,Trial3!J3}, {Trial1!J3,Trial2!J3,Trial3!J3}&lt;&gt;0))
"),0.0478156180900481)</f>
        <v>0.04781561809</v>
      </c>
      <c r="K3" s="21">
        <f>IFERROR(__xludf.DUMMYFUNCTION("STDEV.S(FILTER({Trial1!K3,Trial2!K3,Trial3!K3}, {Trial1!K3,Trial2!K3,Trial3!K3}&lt;&gt;0))
"),0.09749999999999992)</f>
        <v>0.0975</v>
      </c>
    </row>
    <row r="4">
      <c r="A4" s="4" t="s">
        <v>13</v>
      </c>
      <c r="B4" s="6">
        <f>IFERROR(__xludf.DUMMYFUNCTION("STDEV.S(FILTER({Trial1!B4,Trial2!B4,Trial3!B4}, {Trial1!B4,Trial2!B4,Trial3!B4}&lt;&gt;0))
"),0.5179999999999999)</f>
        <v>0.518</v>
      </c>
      <c r="C4" s="6">
        <f>IFERROR(__xludf.DUMMYFUNCTION("STDEV.S(FILTER({Trial1!C4,Trial2!C4,Trial3!C4}, {Trial1!C4,Trial2!C4,Trial3!C4}&lt;&gt;0))
"),0.39761455372424875)</f>
        <v>0.3976145537</v>
      </c>
      <c r="D4" s="6">
        <f>IFERROR(__xludf.DUMMYFUNCTION("STDEV.S(FILTER({Trial1!D4,Trial2!D4,Trial3!D4}, {Trial1!D4,Trial2!D4,Trial3!D4}&lt;&gt;0))
"),0.25432328507891955)</f>
        <v>0.2543232851</v>
      </c>
      <c r="E4" s="6">
        <f>IFERROR(__xludf.DUMMYFUNCTION("STDEV.S(FILTER({Trial1!E4,Trial2!E4,Trial3!E4}, {Trial1!E4,Trial2!E4,Trial3!E4}&lt;&gt;0))
"),0.280236209889681)</f>
        <v>0.2802362099</v>
      </c>
      <c r="F4" s="6">
        <f>IFERROR(__xludf.DUMMYFUNCTION("STDEV.S(FILTER({Trial1!F4,Trial2!F4,Trial3!F4}, {Trial1!F4,Trial2!F4,Trial3!F4}&lt;&gt;0))
"),0.0037395517867960804)</f>
        <v>0.003739551787</v>
      </c>
      <c r="G4" s="6">
        <f>IFERROR(__xludf.DUMMYFUNCTION("STDEV.S(FILTER({Trial1!G4,Trial2!G4,Trial3!G4}, {Trial1!G4,Trial2!G4,Trial3!G4}&lt;&gt;0))
"),0.0035000000000001696)</f>
        <v>0.0035</v>
      </c>
      <c r="H4" s="6">
        <f>IFERROR(__xludf.DUMMYFUNCTION("STDEV.S(FILTER({Trial1!H4,Trial2!H4,Trial3!H4}, {Trial1!H4,Trial2!H4,Trial3!H4}&lt;&gt;0))
"),0.35250000000000004)</f>
        <v>0.3525</v>
      </c>
      <c r="I4" s="6">
        <f>IFERROR(__xludf.DUMMYFUNCTION("STDEV.S(FILTER({Trial1!I4,Trial2!I4,Trial3!I4}, {Trial1!I4,Trial2!I4,Trial3!I4}&lt;&gt;0))
"),0.36550000000000027)</f>
        <v>0.3655</v>
      </c>
      <c r="J4" s="6">
        <f>IFERROR(__xludf.DUMMYFUNCTION("STDEV.S(FILTER({Trial1!J4,Trial2!J4,Trial3!J4}, {Trial1!J4,Trial2!J4,Trial3!J4}&lt;&gt;0))
"),0.071923570545406)</f>
        <v>0.07192357055</v>
      </c>
      <c r="K4" s="19">
        <f>IFERROR(__xludf.DUMMYFUNCTION("STDEV.S(FILTER({Trial1!K4,Trial2!K4,Trial3!K4}, {Trial1!K4,Trial2!K4,Trial3!K4}&lt;&gt;0))
"),0.24750000000000005)</f>
        <v>0.2475</v>
      </c>
    </row>
    <row r="5">
      <c r="A5" s="8" t="s">
        <v>14</v>
      </c>
      <c r="B5" s="10">
        <f>IFERROR(__xludf.DUMMYFUNCTION("STDEV.S(FILTER({Trial1!B5,Trial2!B5,Trial3!B5}, {Trial1!B5,Trial2!B5,Trial3!B5}&lt;&gt;0))
"),0.08449999999999991)</f>
        <v>0.0845</v>
      </c>
      <c r="C5" s="10">
        <f>IFERROR(__xludf.DUMMYFUNCTION("STDEV.S(FILTER({Trial1!C5,Trial2!C5,Trial3!C5}, {Trial1!C5,Trial2!C5,Trial3!C5}&lt;&gt;0))
"),0.11935381574685158)</f>
        <v>0.1193538157</v>
      </c>
      <c r="D5" s="10">
        <f>IFERROR(__xludf.DUMMYFUNCTION("STDEV.S(FILTER({Trial1!D5,Trial2!D5,Trial3!D5}, {Trial1!D5,Trial2!D5,Trial3!D5}&lt;&gt;0))
"),0.07506219643291377)</f>
        <v>0.07506219643</v>
      </c>
      <c r="E5" s="10">
        <f>IFERROR(__xludf.DUMMYFUNCTION("STDEV.S(FILTER({Trial1!E5,Trial2!E5,Trial3!E5}, {Trial1!E5,Trial2!E5,Trial3!E5}&lt;&gt;0))
"),0.08316249154516724)</f>
        <v>0.08316249155</v>
      </c>
      <c r="F5" s="10">
        <f>IFERROR(__xludf.DUMMYFUNCTION("STDEV.S(FILTER({Trial1!F5,Trial2!F5,Trial3!F5}, {Trial1!F5,Trial2!F5,Trial3!F5}&lt;&gt;0))
"),0.004884178321677979)</f>
        <v>0.004884178322</v>
      </c>
      <c r="G5" s="10">
        <f>IFERROR(__xludf.DUMMYFUNCTION("STDEV.S(FILTER({Trial1!G5,Trial2!G5,Trial3!G5}, {Trial1!G5,Trial2!G5,Trial3!G5}&lt;&gt;0))
"),0.0044999999999998375)</f>
        <v>0.0045</v>
      </c>
      <c r="H5" s="10">
        <f>IFERROR(__xludf.DUMMYFUNCTION("STDEV.S(FILTER({Trial1!H5,Trial2!H5,Trial3!H5}, {Trial1!H5,Trial2!H5,Trial3!H5}&lt;&gt;0))
"),0.2110000000000002)</f>
        <v>0.211</v>
      </c>
      <c r="I5" s="10">
        <f>IFERROR(__xludf.DUMMYFUNCTION("STDEV.S(FILTER({Trial1!I5,Trial2!I5,Trial3!I5}, {Trial1!I5,Trial2!I5,Trial3!I5}&lt;&gt;0))
"),0.05500000000000005)</f>
        <v>0.055</v>
      </c>
      <c r="J5" s="10">
        <f>IFERROR(__xludf.DUMMYFUNCTION("STDEV.S(FILTER({Trial1!J5,Trial2!J5,Trial3!J5}, {Trial1!J5,Trial2!J5,Trial3!J5}&lt;&gt;0))
"),0.03200520790954707)</f>
        <v>0.03200520791</v>
      </c>
      <c r="K5" s="21">
        <f>IFERROR(__xludf.DUMMYFUNCTION("STDEV.S(FILTER({Trial1!K5,Trial2!K5,Trial3!K5}, {Trial1!K5,Trial2!K5,Trial3!K5}&lt;&gt;0))
"),0.05350000000000005)</f>
        <v>0.0535</v>
      </c>
    </row>
    <row r="6">
      <c r="A6" s="4" t="s">
        <v>15</v>
      </c>
      <c r="B6" s="6">
        <f>IFERROR(__xludf.DUMMYFUNCTION("STDEV.S(FILTER({Trial1!B6,Trial2!B6,Trial3!B6}, {Trial1!B6,Trial2!B6,Trial3!B6}&lt;&gt;0))
"),0.03349999999999999)</f>
        <v>0.0335</v>
      </c>
      <c r="C6" s="6">
        <f>IFERROR(__xludf.DUMMYFUNCTION("STDEV.S(FILTER({Trial1!C6,Trial2!C6,Trial3!C6}, {Trial1!C6,Trial2!C6,Trial3!C6}&lt;&gt;0))
"),0.026764404221527774)</f>
        <v>0.02676440422</v>
      </c>
      <c r="D6" s="6">
        <f>IFERROR(__xludf.DUMMYFUNCTION("STDEV.S(FILTER({Trial1!D6,Trial2!D6,Trial3!D6}, {Trial1!D6,Trial2!D6,Trial3!D6}&lt;&gt;0))
"),0.015588457268119905)</f>
        <v>0.01558845727</v>
      </c>
      <c r="E6" s="6">
        <f>IFERROR(__xludf.DUMMYFUNCTION("STDEV.S(FILTER({Trial1!E6,Trial2!E6,Trial3!E6}, {Trial1!E6,Trial2!E6,Trial3!E6}&lt;&gt;0))
"),0.017776388834631174)</f>
        <v>0.01777638883</v>
      </c>
      <c r="F6" s="6">
        <f>IFERROR(__xludf.DUMMYFUNCTION("STDEV.S(FILTER({Trial1!F6,Trial2!F6,Trial3!F6}, {Trial1!F6,Trial2!F6,Trial3!F6}&lt;&gt;0))
"),5.33870967741934E-4)</f>
        <v>0.0005338709677</v>
      </c>
      <c r="G6" s="6">
        <f>IFERROR(__xludf.DUMMYFUNCTION("STDEV.S(FILTER({Trial1!G6,Trial2!G6,Trial3!G6}, {Trial1!G6,Trial2!G6,Trial3!G6}&lt;&gt;0))
"),5.000000000000004E-4)</f>
        <v>0.0005</v>
      </c>
      <c r="H6" s="6">
        <f>IFERROR(__xludf.DUMMYFUNCTION("STDEV.S(FILTER({Trial1!H6,Trial2!H6,Trial3!H6}, {Trial1!H6,Trial2!H6,Trial3!H6}&lt;&gt;0))
"),0.018499999999999975)</f>
        <v>0.0185</v>
      </c>
      <c r="I6" s="6">
        <f>IFERROR(__xludf.DUMMYFUNCTION("STDEV.S(FILTER({Trial1!I6,Trial2!I6,Trial3!I6}, {Trial1!I6,Trial2!I6,Trial3!I6}&lt;&gt;0))
"),0.023500000000000014)</f>
        <v>0.0235</v>
      </c>
      <c r="J6" s="6">
        <f>IFERROR(__xludf.DUMMYFUNCTION("STDEV.S(FILTER({Trial1!J6,Trial2!J6,Trial3!J6}, {Trial1!J6,Trial2!J6,Trial3!J6}&lt;&gt;0))
"),0.005)</f>
        <v>0.005</v>
      </c>
      <c r="K6" s="19">
        <f>IFERROR(__xludf.DUMMYFUNCTION("STDEV.S(FILTER({Trial1!K6,Trial2!K6,Trial3!K6}, {Trial1!K6,Trial2!K6,Trial3!K6}&lt;&gt;0))
"),0.015500000000000007)</f>
        <v>0.0155</v>
      </c>
    </row>
    <row r="7">
      <c r="A7" s="8" t="s">
        <v>16</v>
      </c>
      <c r="B7" s="10">
        <f>IFERROR(__xludf.DUMMYFUNCTION("STDEV.S(FILTER({Trial1!B7,Trial2!B7,Trial3!B7}, {Trial1!B7,Trial2!B7,Trial3!B7}&lt;&gt;0))
"),1.3750000000000008E-6)</f>
        <v>0.000001375</v>
      </c>
      <c r="C7" s="10">
        <f>IFERROR(__xludf.DUMMYFUNCTION("STDEV.S(FILTER({Trial1!C7,Trial2!C7,Trial3!C7}, {Trial1!C7,Trial2!C7,Trial3!C7}&lt;&gt;0))
"),1.6258638729405776E-6)</f>
        <v>0.000001625863873</v>
      </c>
      <c r="D7" s="10">
        <f>IFERROR(__xludf.DUMMYFUNCTION("STDEV.S(FILTER({Trial1!D7,Trial2!D7,Trial3!D7}, {Trial1!D7,Trial2!D7,Trial3!D7}&lt;&gt;0))
"),1.6339012618066415E-6)</f>
        <v>0.000001633901262</v>
      </c>
      <c r="E7" s="10">
        <f>IFERROR(__xludf.DUMMYFUNCTION("STDEV.S(FILTER({Trial1!E7,Trial2!E7,Trial3!E7}, {Trial1!E7,Trial2!E7,Trial3!E7}&lt;&gt;0))
"),1.590607850267732E-6)</f>
        <v>0.00000159060785</v>
      </c>
      <c r="F7" s="10">
        <f>IFERROR(__xludf.DUMMYFUNCTION("STDEV.S(FILTER({Trial1!F7,Trial2!F7,Trial3!F7}, {Trial1!F7,Trial2!F7,Trial3!F7}&lt;&gt;0))
"),0.0)</f>
        <v>0</v>
      </c>
      <c r="G7" s="10">
        <f>IFERROR(__xludf.DUMMYFUNCTION("STDEV.S(FILTER({Trial1!G7,Trial2!G7,Trial3!G7}, {Trial1!G7,Trial2!G7,Trial3!G7}&lt;&gt;0))
"),0.0)</f>
        <v>0</v>
      </c>
      <c r="H7" s="10">
        <f>IFERROR(__xludf.DUMMYFUNCTION("STDEV.S(FILTER({Trial1!H7,Trial2!H7,Trial3!H7}, {Trial1!H7,Trial2!H7,Trial3!H7}&lt;&gt;0))
"),1.4350000000000002E-6)</f>
        <v>0.000001435</v>
      </c>
      <c r="I7" s="10">
        <f>IFERROR(__xludf.DUMMYFUNCTION("STDEV.S(FILTER({Trial1!I7,Trial2!I7,Trial3!I7}, {Trial1!I7,Trial2!I7,Trial3!I7}&lt;&gt;0))
"),1.3750000000000008E-6)</f>
        <v>0.000001375</v>
      </c>
      <c r="J7" s="10">
        <f>IFERROR(__xludf.DUMMYFUNCTION("STDEV.S(FILTER({Trial1!J7,Trial2!J7,Trial3!J7}, {Trial1!J7,Trial2!J7,Trial3!J7}&lt;&gt;0))
"),1.6399491862046636E-6)</f>
        <v>0.000001639949186</v>
      </c>
      <c r="K7" s="21">
        <f>IFERROR(__xludf.DUMMYFUNCTION("STDEV.S(FILTER({Trial1!K7,Trial2!K7,Trial3!K7}, {Trial1!K7,Trial2!K7,Trial3!K7}&lt;&gt;0))
"),1.4249999999999982E-6)</f>
        <v>0.000001425</v>
      </c>
    </row>
    <row r="8">
      <c r="A8" s="4" t="s">
        <v>17</v>
      </c>
      <c r="B8" s="6">
        <f>IFERROR(__xludf.DUMMYFUNCTION("STDEV.S(FILTER({Trial1!B8,Trial2!B8,Trial3!B8}, {Trial1!B8,Trial2!B8,Trial3!B8}&lt;&gt;0))
"),75.42200000000003)</f>
        <v>75.422</v>
      </c>
      <c r="C8" s="6">
        <f>IFERROR(__xludf.DUMMYFUNCTION("STDEV.S(FILTER({Trial1!C8,Trial2!C8,Trial3!C8}, {Trial1!C8,Trial2!C8,Trial3!C8}&lt;&gt;0))
"),122.09628739782936)</f>
        <v>122.0962874</v>
      </c>
      <c r="D8" s="6">
        <f>IFERROR(__xludf.DUMMYFUNCTION("STDEV.S(FILTER({Trial1!D8,Trial2!D8,Trial3!D8}, {Trial1!D8,Trial2!D8,Trial3!D8}&lt;&gt;0))
"),76.84045735374913)</f>
        <v>76.84045735</v>
      </c>
      <c r="E8" s="6">
        <f>IFERROR(__xludf.DUMMYFUNCTION("STDEV.S(FILTER({Trial1!E8,Trial2!E8,Trial3!E8}, {Trial1!E8,Trial2!E8,Trial3!E8}&lt;&gt;0))
"),75.14439679931779)</f>
        <v>75.1443968</v>
      </c>
      <c r="F8" s="6">
        <f>IFERROR(__xludf.DUMMYFUNCTION("STDEV.S(FILTER({Trial1!F8,Trial2!F8,Trial3!F8}, {Trial1!F8,Trial2!F8,Trial3!F8}&lt;&gt;0))
"),3.651155107361774)</f>
        <v>3.651155107</v>
      </c>
      <c r="G8" s="6">
        <f>IFERROR(__xludf.DUMMYFUNCTION("STDEV.S(FILTER({Trial1!G8,Trial2!G8,Trial3!G8}, {Trial1!G8,Trial2!G8,Trial3!G8}&lt;&gt;0))
"),3.417999999999779)</f>
        <v>3.418</v>
      </c>
      <c r="H8" s="6">
        <f>IFERROR(__xludf.DUMMYFUNCTION("STDEV.S(FILTER({Trial1!H8,Trial2!H8,Trial3!H8}, {Trial1!H8,Trial2!H8,Trial3!H8}&lt;&gt;0))
"),210.47449999999992)</f>
        <v>210.4745</v>
      </c>
      <c r="I8" s="6">
        <f>IFERROR(__xludf.DUMMYFUNCTION("STDEV.S(FILTER({Trial1!I8,Trial2!I8,Trial3!I8}, {Trial1!I8,Trial2!I8,Trial3!I8}&lt;&gt;0))
"),49.278999999999996)</f>
        <v>49.279</v>
      </c>
      <c r="J8" s="6">
        <f>IFERROR(__xludf.DUMMYFUNCTION("STDEV.S(FILTER({Trial1!J8,Trial2!J8,Trial3!J8}, {Trial1!J8,Trial2!J8,Trial3!J8}&lt;&gt;0))
"),29.930477014797695)</f>
        <v>29.93047701</v>
      </c>
      <c r="K8" s="19">
        <f>IFERROR(__xludf.DUMMYFUNCTION("STDEV.S(FILTER({Trial1!K8,Trial2!K8,Trial3!K8}, {Trial1!K8,Trial2!K8,Trial3!K8}&lt;&gt;0))
"),57.78449999999998)</f>
        <v>57.7845</v>
      </c>
    </row>
    <row r="9">
      <c r="A9" s="8" t="s">
        <v>18</v>
      </c>
      <c r="B9" s="10">
        <f>IFERROR(__xludf.DUMMYFUNCTION("STDEV.S(FILTER({Trial1!B9,Trial2!B9,Trial3!B9}, {Trial1!B9,Trial2!B9,Trial3!B9}&lt;&gt;0))
"),4.999999999999449E-5)</f>
        <v>0.00005</v>
      </c>
      <c r="C9" s="10">
        <f>IFERROR(__xludf.DUMMYFUNCTION("STDEV.S(FILTER({Trial1!C9,Trial2!C9,Trial3!C9}, {Trial1!C9,Trial2!C9,Trial3!C9}&lt;&gt;0))
"),4.808672720546699E-4)</f>
        <v>0.0004808672721</v>
      </c>
      <c r="D9" s="10">
        <f>IFERROR(__xludf.DUMMYFUNCTION("STDEV.S(FILTER({Trial1!D9,Trial2!D9,Trial3!D9}, {Trial1!D9,Trial2!D9,Trial3!D9}&lt;&gt;0))
"),2.205296654269715E-4)</f>
        <v>0.0002205296654</v>
      </c>
      <c r="E9" s="10">
        <f>IFERROR(__xludf.DUMMYFUNCTION("STDEV.S(FILTER({Trial1!E9,Trial2!E9,Trial3!E9}, {Trial1!E9,Trial2!E9,Trial3!E9}&lt;&gt;0))
"),2.1939310229198073E-4)</f>
        <v>0.0002193931023</v>
      </c>
      <c r="F9" s="10">
        <f>IFERROR(__xludf.DUMMYFUNCTION("STDEV.S(FILTER({Trial1!F9,Trial2!F9,Trial3!F9}, {Trial1!F9,Trial2!F9,Trial3!F9}&lt;&gt;0))
"),0.08861907235210156)</f>
        <v>0.08861907235</v>
      </c>
      <c r="G9" s="10">
        <f>IFERROR(__xludf.DUMMYFUNCTION("STDEV.S(FILTER({Trial1!G9,Trial2!G9,Trial3!G9}, {Trial1!G9,Trial2!G9,Trial3!G9}&lt;&gt;0))
"),0.06716)</f>
        <v>0.06716</v>
      </c>
      <c r="H9" s="10">
        <f>IFERROR(__xludf.DUMMYFUNCTION("STDEV.S(FILTER({Trial1!H9,Trial2!H9,Trial3!H9}, {Trial1!H9,Trial2!H9,Trial3!H9}&lt;&gt;0))
"),9.999999999998899E-5)</f>
        <v>0.0001</v>
      </c>
      <c r="I9" s="10">
        <f>IFERROR(__xludf.DUMMYFUNCTION("STDEV.S(FILTER({Trial1!I9,Trial2!I9,Trial3!I9}, {Trial1!I9,Trial2!I9,Trial3!I9}&lt;&gt;0))
"),3.0000000000057758E-5)</f>
        <v>0.00003</v>
      </c>
      <c r="J9" s="10">
        <f>IFERROR(__xludf.DUMMYFUNCTION("STDEV.S(FILTER({Trial1!J9,Trial2!J9,Trial3!J9}, {Trial1!J9,Trial2!J9,Trial3!J9}&lt;&gt;0))
"),1.1718930554166955E-4)</f>
        <v>0.0001171893055</v>
      </c>
      <c r="K9" s="21">
        <f>IFERROR(__xludf.DUMMYFUNCTION("STDEV.S(FILTER({Trial1!K9,Trial2!K9,Trial3!K9}, {Trial1!K9,Trial2!K9,Trial3!K9}&lt;&gt;0))
"),0.0013199999999999878)</f>
        <v>0.00132</v>
      </c>
    </row>
    <row r="10">
      <c r="A10" s="4" t="s">
        <v>19</v>
      </c>
      <c r="B10" s="6">
        <f>IFERROR(__xludf.DUMMYFUNCTION("STDEV.S(FILTER({Trial1!B10,Trial2!B10,Trial3!B10}, {Trial1!B10,Trial2!B10,Trial3!B10}&lt;&gt;0))
"),4.499999999996174E-5)</f>
        <v>0.000045</v>
      </c>
      <c r="C10" s="6">
        <f>IFERROR(__xludf.DUMMYFUNCTION("STDEV.S(FILTER({Trial1!C10,Trial2!C10,Trial3!C10}, {Trial1!C10,Trial2!C10,Trial3!C10}&lt;&gt;0))
"),4.4635561308593673E-4)</f>
        <v>0.0004463556131</v>
      </c>
      <c r="D10" s="6">
        <f>IFERROR(__xludf.DUMMYFUNCTION("STDEV.S(FILTER({Trial1!D10,Trial2!D10,Trial3!D10}, {Trial1!D10,Trial2!D10,Trial3!D10}&lt;&gt;0))
"),2.205296654269715E-4)</f>
        <v>0.0002205296654</v>
      </c>
      <c r="E10" s="6">
        <f>IFERROR(__xludf.DUMMYFUNCTION("STDEV.S(FILTER({Trial1!E10,Trial2!E10,Trial3!E10}, {Trial1!E10,Trial2!E10,Trial3!E10}&lt;&gt;0))
"),2.1939310229198073E-4)</f>
        <v>0.0002193931023</v>
      </c>
      <c r="F10" s="6">
        <f>IFERROR(__xludf.DUMMYFUNCTION("STDEV.S(FILTER({Trial1!F10,Trial2!F10,Trial3!F10}, {Trial1!F10,Trial2!F10,Trial3!F10}&lt;&gt;0))
"),0.057875306679222804)</f>
        <v>0.05787530668</v>
      </c>
      <c r="G10" s="6">
        <f>IFERROR(__xludf.DUMMYFUNCTION("STDEV.S(FILTER({Trial1!G10,Trial2!G10,Trial3!G10}, {Trial1!G10,Trial2!G10,Trial3!G10}&lt;&gt;0))
"),0.043889999999999985)</f>
        <v>0.04389</v>
      </c>
      <c r="H10" s="6">
        <f>IFERROR(__xludf.DUMMYFUNCTION("STDEV.S(FILTER({Trial1!H10,Trial2!H10,Trial3!H10}, {Trial1!H10,Trial2!H10,Trial3!H10}&lt;&gt;0))
"),9.999999999998899E-5)</f>
        <v>0.0001</v>
      </c>
      <c r="I10" s="6">
        <f>IFERROR(__xludf.DUMMYFUNCTION("STDEV.S(FILTER({Trial1!I10,Trial2!I10,Trial3!I10}, {Trial1!I10,Trial2!I10,Trial3!I10}&lt;&gt;0))
"),3.0000000000002247E-5)</f>
        <v>0.00003</v>
      </c>
      <c r="J10" s="6">
        <f>IFERROR(__xludf.DUMMYFUNCTION("STDEV.S(FILTER({Trial1!J10,Trial2!J10,Trial3!J10}, {Trial1!J10,Trial2!J10,Trial3!J10}&lt;&gt;0))
"),1.1718930554166955E-4)</f>
        <v>0.0001171893055</v>
      </c>
      <c r="K10" s="19">
        <f>IFERROR(__xludf.DUMMYFUNCTION("STDEV.S(FILTER({Trial1!K10,Trial2!K10,Trial3!K10}, {Trial1!K10,Trial2!K10,Trial3!K10}&lt;&gt;0))
"),0.0012999999999999956)</f>
        <v>0.0013</v>
      </c>
    </row>
    <row r="11">
      <c r="A11" s="8" t="s">
        <v>20</v>
      </c>
      <c r="B11" s="10">
        <f>IFERROR(__xludf.DUMMYFUNCTION("STDEV.S(FILTER({Trial1!B11,Trial2!B11,Trial3!B11}, {Trial1!B11,Trial2!B11,Trial3!B11}&lt;&gt;0))
"),4.999999999999449E-5)</f>
        <v>0.00005</v>
      </c>
      <c r="C11" s="10">
        <f>IFERROR(__xludf.DUMMYFUNCTION("STDEV.S(FILTER({Trial1!C11,Trial2!C11,Trial3!C11}, {Trial1!C11,Trial2!C11,Trial3!C11}&lt;&gt;0))
"),4.808672720546699E-4)</f>
        <v>0.0004808672721</v>
      </c>
      <c r="D11" s="10">
        <f>IFERROR(__xludf.DUMMYFUNCTION("STDEV.S(FILTER({Trial1!D11,Trial2!D11,Trial3!D11}, {Trial1!D11,Trial2!D11,Trial3!D11}&lt;&gt;0))
"),2.205296654269715E-4)</f>
        <v>0.0002205296654</v>
      </c>
      <c r="E11" s="10">
        <f>IFERROR(__xludf.DUMMYFUNCTION("STDEV.S(FILTER({Trial1!E11,Trial2!E11,Trial3!E11}, {Trial1!E11,Trial2!E11,Trial3!E11}&lt;&gt;0))
"),2.1939310229198073E-4)</f>
        <v>0.0002193931023</v>
      </c>
      <c r="F11" s="10">
        <f>IFERROR(__xludf.DUMMYFUNCTION("STDEV.S(FILTER({Trial1!F11,Trial2!F11,Trial3!F11}, {Trial1!F11,Trial2!F11,Trial3!F11}&lt;&gt;0))
"),0.08861907235210156)</f>
        <v>0.08861907235</v>
      </c>
      <c r="G11" s="10">
        <f>IFERROR(__xludf.DUMMYFUNCTION("STDEV.S(FILTER({Trial1!G11,Trial2!G11,Trial3!G11}, {Trial1!G11,Trial2!G11,Trial3!G11}&lt;&gt;0))
"),0.06716)</f>
        <v>0.06716</v>
      </c>
      <c r="H11" s="10">
        <f>IFERROR(__xludf.DUMMYFUNCTION("STDEV.S(FILTER({Trial1!H11,Trial2!H11,Trial3!H11}, {Trial1!H11,Trial2!H11,Trial3!H11}&lt;&gt;0))
"),9.999999999998899E-5)</f>
        <v>0.0001</v>
      </c>
      <c r="I11" s="10">
        <f>IFERROR(__xludf.DUMMYFUNCTION("STDEV.S(FILTER({Trial1!I11,Trial2!I11,Trial3!I11}, {Trial1!I11,Trial2!I11,Trial3!I11}&lt;&gt;0))
"),3.0000000000057758E-5)</f>
        <v>0.00003</v>
      </c>
      <c r="J11" s="10">
        <f>IFERROR(__xludf.DUMMYFUNCTION("STDEV.S(FILTER({Trial1!J11,Trial2!J11,Trial3!J11}, {Trial1!J11,Trial2!J11,Trial3!J11}&lt;&gt;0))
"),1.1718930554166955E-4)</f>
        <v>0.0001171893055</v>
      </c>
      <c r="K11" s="21">
        <f>IFERROR(__xludf.DUMMYFUNCTION("STDEV.S(FILTER({Trial1!K11,Trial2!K11,Trial3!K11}, {Trial1!K11,Trial2!K11,Trial3!K11}&lt;&gt;0))
"),0.0013199999999999878)</f>
        <v>0.00132</v>
      </c>
    </row>
    <row r="12">
      <c r="A12" s="4" t="s">
        <v>21</v>
      </c>
      <c r="B12" s="6">
        <f>IFERROR(__xludf.DUMMYFUNCTION("STDEV.S(FILTER({Trial1!B12,Trial2!B12,Trial3!B12}, {Trial1!B12,Trial2!B12,Trial3!B12}&lt;&gt;0))
"),4.499999999998949E-5)</f>
        <v>0.000045</v>
      </c>
      <c r="C12" s="6">
        <f>IFERROR(__xludf.DUMMYFUNCTION("STDEV.S(FILTER({Trial1!C12,Trial2!C12,Trial3!C12}, {Trial1!C12,Trial2!C12,Trial3!C12}&lt;&gt;0))
"),4.784349485562102E-4)</f>
        <v>0.0004784349486</v>
      </c>
      <c r="D12" s="6">
        <f>IFERROR(__xludf.DUMMYFUNCTION("STDEV.S(FILTER({Trial1!D12,Trial2!D12,Trial3!D12}, {Trial1!D12,Trial2!D12,Trial3!D12}&lt;&gt;0))
"),2.150193789715626E-4)</f>
        <v>0.000215019379</v>
      </c>
      <c r="E12" s="6">
        <f>IFERROR(__xludf.DUMMYFUNCTION("STDEV.S(FILTER({Trial1!E12,Trial2!E12,Trial3!E12}, {Trial1!E12,Trial2!E12,Trial3!E12}&lt;&gt;0))
"),2.1939310229209292E-4)</f>
        <v>0.0002193931023</v>
      </c>
      <c r="F12" s="6">
        <f>IFERROR(__xludf.DUMMYFUNCTION("STDEV.S(FILTER({Trial1!F12,Trial2!F12,Trial3!F12}, {Trial1!F12,Trial2!F12,Trial3!F12}&lt;&gt;0))
"),0.11467047279128431)</f>
        <v>0.1146704728</v>
      </c>
      <c r="G12" s="6">
        <f>IFERROR(__xludf.DUMMYFUNCTION("STDEV.S(FILTER({Trial1!G12,Trial2!G12,Trial3!G12}, {Trial1!G12,Trial2!G12,Trial3!G12}&lt;&gt;0))
"),0.08688499999999999)</f>
        <v>0.086885</v>
      </c>
      <c r="H12" s="6">
        <f>IFERROR(__xludf.DUMMYFUNCTION("STDEV.S(FILTER({Trial1!H12,Trial2!H12,Trial3!H12}, {Trial1!H12,Trial2!H12,Trial3!H12}&lt;&gt;0))
"),9.999999999998899E-5)</f>
        <v>0.0001</v>
      </c>
      <c r="I12" s="6">
        <f>IFERROR(__xludf.DUMMYFUNCTION("STDEV.S(FILTER({Trial1!I12,Trial2!I12,Trial3!I12}, {Trial1!I12,Trial2!I12,Trial3!I12}&lt;&gt;0))
"),3.0000000000057758E-5)</f>
        <v>0.00003</v>
      </c>
      <c r="J12" s="6">
        <f>IFERROR(__xludf.DUMMYFUNCTION("STDEV.S(FILTER({Trial1!J12,Trial2!J12,Trial3!J12}, {Trial1!J12,Trial2!J12,Trial3!J12}&lt;&gt;0))
"),1.1718930554166955E-4)</f>
        <v>0.0001171893055</v>
      </c>
      <c r="K12" s="19">
        <f>IFERROR(__xludf.DUMMYFUNCTION("STDEV.S(FILTER({Trial1!K12,Trial2!K12,Trial3!K12}, {Trial1!K12,Trial2!K12,Trial3!K12}&lt;&gt;0))
"),0.0013199999999999878)</f>
        <v>0.00132</v>
      </c>
    </row>
    <row r="13">
      <c r="A13" s="14" t="s">
        <v>22</v>
      </c>
      <c r="B13" s="16">
        <f>IFERROR(__xludf.DUMMYFUNCTION("STDEV.S(FILTER({Trial1!B13,Trial2!B13,Trial3!B13}, {Trial1!B13,Trial2!B13,Trial3!B13}&lt;&gt;0))
"),6.50000000000095E-5)</f>
        <v>0.000065</v>
      </c>
      <c r="C13" s="16">
        <f>IFERROR(__xludf.DUMMYFUNCTION("STDEV.S(FILTER({Trial1!C13,Trial2!C13,Trial3!C13}, {Trial1!C13,Trial2!C13,Trial3!C13}&lt;&gt;0))
"),7.409678355592168E-4)</f>
        <v>0.0007409678356</v>
      </c>
      <c r="D13" s="16">
        <f>IFERROR(__xludf.DUMMYFUNCTION("STDEV.S(FILTER({Trial1!D13,Trial2!D13,Trial3!D13}, {Trial1!D13,Trial2!D13,Trial3!D13}&lt;&gt;0))
"),1.527525231652263E-5)</f>
        <v>0.00001527525232</v>
      </c>
      <c r="E13" s="16">
        <f>IFERROR(__xludf.DUMMYFUNCTION("STDEV.S(FILTER({Trial1!E13,Trial2!E13,Trial3!E13}, {Trial1!E13,Trial2!E13,Trial3!E13}&lt;&gt;0))
"),7.810249675905759E-5)</f>
        <v>0.00007810249676</v>
      </c>
      <c r="F13" s="16">
        <f>IFERROR(__xludf.DUMMYFUNCTION("STDEV.S(FILTER({Trial1!F13,Trial2!F13,Trial3!F13}, {Trial1!F13,Trial2!F13,Trial3!F13}&lt;&gt;0))
"),0.05188632115898725)</f>
        <v>0.05188632116</v>
      </c>
      <c r="G13" s="16">
        <f>IFERROR(__xludf.DUMMYFUNCTION("STDEV.S(FILTER({Trial1!G13,Trial2!G13,Trial3!G13}, {Trial1!G13,Trial2!G13,Trial3!G13}&lt;&gt;0))
"),0.040035000000000015)</f>
        <v>0.040035</v>
      </c>
      <c r="H13" s="16">
        <f>IFERROR(__xludf.DUMMYFUNCTION("STDEV.S(FILTER({Trial1!H13,Trial2!H13,Trial3!H13}, {Trial1!H13,Trial2!H13,Trial3!H13}&lt;&gt;0))
"),2.0000000000020002E-5)</f>
        <v>0.00002</v>
      </c>
      <c r="I13" s="16">
        <f>IFERROR(__xludf.DUMMYFUNCTION("STDEV.S(FILTER({Trial1!I13,Trial2!I13,Trial3!I13}, {Trial1!I13,Trial2!I13,Trial3!I13}&lt;&gt;0))
"),7.00000000000145E-5)</f>
        <v>0.00007</v>
      </c>
      <c r="J13" s="16">
        <f>IFERROR(__xludf.DUMMYFUNCTION("STDEV.S(FILTER({Trial1!J13,Trial2!J13,Trial3!J13}, {Trial1!J13,Trial2!J13,Trial3!J13}&lt;&gt;0))
"),5.773502691821909E-6)</f>
        <v>0.000005773502692</v>
      </c>
      <c r="K13" s="23">
        <f>IFERROR(__xludf.DUMMYFUNCTION("STDEV.S(FILTER({Trial1!K13,Trial2!K13,Trial3!K13}, {Trial1!K13,Trial2!K13,Trial3!K13}&lt;&gt;0))
"),7.400000000000462E-4)</f>
        <v>0.00074</v>
      </c>
    </row>
  </sheetData>
  <dataValidations>
    <dataValidation type="custom" allowBlank="1" showDropDown="1" sqref="B2:K13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9.38"/>
    <col customWidth="1" min="3" max="3" width="30.88"/>
    <col customWidth="1" min="4" max="4" width="23.13"/>
    <col customWidth="1" min="5" max="5" width="24.88"/>
    <col customWidth="1" min="6" max="6" width="21.38"/>
    <col customWidth="1" min="7" max="7" width="26.88"/>
    <col customWidth="1" min="8" max="8" width="22.38"/>
    <col customWidth="1" min="9" max="9" width="33.88"/>
    <col customWidth="1" min="10" max="10" width="15.75"/>
    <col customWidth="1" min="11" max="11" width="1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 t="s">
        <v>11</v>
      </c>
      <c r="B2" s="6">
        <f>IFERROR(__xludf.DUMMYFUNCTION("STDEV.S(FILTER({Trial1!B2,Trial2!B2,Trial3!B2}, {Trial1!B2,Trial2!B2,Trial3!B2}&lt;&gt;0)) / SQRT(COUNTIF({Trial1!B2,Trial2!B2,Trial3!B2}, ""&lt;&gt;0""))"),0.269622575711555)</f>
        <v>0.2696225757</v>
      </c>
      <c r="C2" s="6">
        <f>IFERROR(__xludf.DUMMYFUNCTION("STDEV.S(FILTER({Trial1!C2,Trial2!C2,Trial3!C2}, {Trial1!C2,Trial2!C2,Trial3!C2}&lt;&gt;0)) / SQRT(COUNTIF({Trial1!C2,Trial2!C2,Trial3!C2}, ""&lt;&gt;0""))"),0.23362862267567605)</f>
        <v>0.2336286227</v>
      </c>
      <c r="D2" s="6">
        <f>IFERROR(__xludf.DUMMYFUNCTION("STDEV.S(FILTER({Trial1!D2,Trial2!D2,Trial3!D2}, {Trial1!D2,Trial2!D2,Trial3!D2}&lt;&gt;0)) / SQRT(COUNTIF({Trial1!D2,Trial2!D2,Trial3!D2}, ""&lt;&gt;0""))"),0.11217000985607119)</f>
        <v>0.1121700099</v>
      </c>
      <c r="E2" s="6">
        <f>IFERROR(__xludf.DUMMYFUNCTION("STDEV.S(FILTER({Trial1!E2,Trial2!E2,Trial3!E2}, {Trial1!E2,Trial2!E2,Trial3!E2}&lt;&gt;0)) / SQRT(COUNTIF({Trial1!E2,Trial2!E2,Trial3!E2}, ""&lt;&gt;0""))"),0.14056591968815846)</f>
        <v>0.1405659197</v>
      </c>
      <c r="F2" s="6">
        <f>IFERROR(__xludf.DUMMYFUNCTION("STDEV.S(FILTER({Trial1!F2,Trial2!F2,Trial3!F2}, {Trial1!F2,Trial2!F2,Trial3!F2}&lt;&gt;0)) / SQRT(COUNTIF({Trial1!F2,Trial2!F2,Trial3!F2}, ""&lt;&gt;0""))"),0.005283689345973988)</f>
        <v>0.005283689346</v>
      </c>
      <c r="G2" s="6">
        <f>IFERROR(__xludf.DUMMYFUNCTION("STDEV.S(FILTER({Trial1!G2,Trial2!G2,Trial3!G2}, {Trial1!G2,Trial2!G2,Trial3!G2}&lt;&gt;0)) / SQRT(COUNTIF({Trial1!G2,Trial2!G2,Trial3!G2}, ""&lt;&gt;0""))"),0.004907477288112048)</f>
        <v>0.004907477288</v>
      </c>
      <c r="H2" s="6">
        <f>IFERROR(__xludf.DUMMYFUNCTION("STDEV.S(FILTER({Trial1!H2,Trial2!H2,Trial3!H2}, {Trial1!H2,Trial2!H2,Trial3!H2}&lt;&gt;0)) / SQRT(COUNTIF({Trial1!H2,Trial2!H2,Trial3!H2}, ""&lt;&gt;0""))"),0.09208736793574518)</f>
        <v>0.09208736794</v>
      </c>
      <c r="I2" s="6">
        <f>IFERROR(__xludf.DUMMYFUNCTION("STDEV.S(FILTER({Trial1!I2,Trial2!I2,Trial3!I2}, {Trial1!I2,Trial2!I2,Trial3!I2}&lt;&gt;0)) / SQRT(COUNTIF({Trial1!I2,Trial2!I2,Trial3!I2}, ""&lt;&gt;0""))"),0.19285808392010254)</f>
        <v>0.1928580839</v>
      </c>
      <c r="J2" s="6">
        <f>IFERROR(__xludf.DUMMYFUNCTION("STDEV.S(FILTER({Trial1!J2,Trial2!J2,Trial3!J2}, {Trial1!J2,Trial2!J2,Trial3!J2}&lt;&gt;0)) / SQRT(COUNTIF({Trial1!J2,Trial2!J2,Trial3!J2}, ""&lt;&gt;0""))"),0.059571618895055876)</f>
        <v>0.0595716189</v>
      </c>
      <c r="K2" s="19">
        <f>IFERROR(__xludf.DUMMYFUNCTION("STDEV.S(FILTER({Trial1!K2,Trial2!K2,Trial3!K2}, {Trial1!K2,Trial2!K2,Trial3!K2}&lt;&gt;0)) / SQRT(COUNTIF({Trial1!K2,Trial2!K2,Trial3!K2}, ""&lt;&gt;0""))"),0.12095488139522655)</f>
        <v>0.1209548814</v>
      </c>
    </row>
    <row r="3">
      <c r="A3" s="8" t="s">
        <v>12</v>
      </c>
      <c r="B3" s="10">
        <f>IFERROR(__xludf.DUMMYFUNCTION("STDEV.S(FILTER({Trial1!B3,Trial2!B3,Trial3!B3}, {Trial1!B3,Trial2!B3,Trial3!B3}&lt;&gt;0)) / SQRT(COUNTIF({Trial1!B3,Trial2!B3,Trial3!B3}, ""&lt;&gt;0""))"),0.11200595222278738)</f>
        <v>0.1120059522</v>
      </c>
      <c r="C3" s="10">
        <f>IFERROR(__xludf.DUMMYFUNCTION("STDEV.S(FILTER({Trial1!C3,Trial2!C3,Trial3!C3}, {Trial1!C3,Trial2!C3,Trial3!C3}&lt;&gt;0)) / SQRT(COUNTIF({Trial1!C3,Trial2!C3,Trial3!C3}, ""&lt;&gt;0""))"),0.10858330135584078)</f>
        <v>0.1085833014</v>
      </c>
      <c r="D3" s="10">
        <f>IFERROR(__xludf.DUMMYFUNCTION("STDEV.S(FILTER({Trial1!D3,Trial2!D3,Trial3!D3}, {Trial1!D3,Trial2!D3,Trial3!D3}&lt;&gt;0)) / SQRT(COUNTIF({Trial1!D3,Trial2!D3,Trial3!D3}, ""&lt;&gt;0""))"),0.05216746538259691)</f>
        <v>0.05216746538</v>
      </c>
      <c r="E3" s="10">
        <f>IFERROR(__xludf.DUMMYFUNCTION("STDEV.S(FILTER({Trial1!E3,Trial2!E3,Trial3!E3}, {Trial1!E3,Trial2!E3,Trial3!E3}&lt;&gt;0)) / SQRT(COUNTIF({Trial1!E3,Trial2!E3,Trial3!E3}, ""&lt;&gt;0""))"),0.06519798906237662)</f>
        <v>0.06519798906</v>
      </c>
      <c r="F3" s="10">
        <f>IFERROR(__xludf.DUMMYFUNCTION("STDEV.S(FILTER({Trial1!F3,Trial2!F3,Trial3!F3}, {Trial1!F3,Trial2!F3,Trial3!F3}&lt;&gt;0)) / SQRT(COUNTIF({Trial1!F3,Trial2!F3,Trial3!F3}, ""&lt;&gt;0""))"),0.0021756914818773206)</f>
        <v>0.002175691482</v>
      </c>
      <c r="G3" s="10">
        <f>IFERROR(__xludf.DUMMYFUNCTION("STDEV.S(FILTER({Trial1!G3,Trial2!G3,Trial3!G3}, {Trial1!G3,Trial2!G3,Trial3!G3}&lt;&gt;0)) / SQRT(COUNTIF({Trial1!G3,Trial2!G3,Trial3!G3}, ""&lt;&gt;0""))"),0.002020725942163596)</f>
        <v>0.002020725942</v>
      </c>
      <c r="H3" s="10">
        <f>IFERROR(__xludf.DUMMYFUNCTION("STDEV.S(FILTER({Trial1!H3,Trial2!H3,Trial3!H3}, {Trial1!H3,Trial2!H3,Trial3!H3}&lt;&gt;0)) / SQRT(COUNTIF({Trial1!H3,Trial2!H3,Trial3!H3}, ""&lt;&gt;0""))"),0.04301259505462713)</f>
        <v>0.04301259505</v>
      </c>
      <c r="I3" s="10">
        <f>IFERROR(__xludf.DUMMYFUNCTION("STDEV.S(FILTER({Trial1!I3,Trial2!I3,Trial3!I3}, {Trial1!I3,Trial2!I3,Trial3!I3}&lt;&gt;0)) / SQRT(COUNTIF({Trial1!I3,Trial2!I3,Trial3!I3}, ""&lt;&gt;0""))"),0.08952970624323517)</f>
        <v>0.08952970624</v>
      </c>
      <c r="J3" s="10">
        <f>IFERROR(__xludf.DUMMYFUNCTION("STDEV.S(FILTER({Trial1!J3,Trial2!J3,Trial3!J3}, {Trial1!J3,Trial2!J3,Trial3!J3}&lt;&gt;0)) / SQRT(COUNTIF({Trial1!J3,Trial2!J3,Trial3!J3}, ""&lt;&gt;0""))"),0.02760635997575761)</f>
        <v>0.02760635998</v>
      </c>
      <c r="K3" s="21">
        <f>IFERROR(__xludf.DUMMYFUNCTION("STDEV.S(FILTER({Trial1!K3,Trial2!K3,Trial3!K3}, {Trial1!K3,Trial2!K3,Trial3!K3}&lt;&gt;0)) / SQRT(COUNTIF({Trial1!K3,Trial2!K3,Trial3!K3}, ""&lt;&gt;0""))"),0.05629165124598847)</f>
        <v>0.05629165125</v>
      </c>
    </row>
    <row r="4">
      <c r="A4" s="4" t="s">
        <v>13</v>
      </c>
      <c r="B4" s="6">
        <f>IFERROR(__xludf.DUMMYFUNCTION("STDEV.S(FILTER({Trial1!B4,Trial2!B4,Trial3!B4}, {Trial1!B4,Trial2!B4,Trial3!B4}&lt;&gt;0)) / SQRT(COUNTIF({Trial1!B4,Trial2!B4,Trial3!B4}, ""&lt;&gt;0""))"),0.2990674394402261)</f>
        <v>0.2990674394</v>
      </c>
      <c r="C4" s="6">
        <f>IFERROR(__xludf.DUMMYFUNCTION("STDEV.S(FILTER({Trial1!C4,Trial2!C4,Trial3!C4}, {Trial1!C4,Trial2!C4,Trial3!C4}&lt;&gt;0)) / SQRT(COUNTIF({Trial1!C4,Trial2!C4,Trial3!C4}, ""&lt;&gt;0""))"),0.22956286962640796)</f>
        <v>0.2295628696</v>
      </c>
      <c r="D4" s="6">
        <f>IFERROR(__xludf.DUMMYFUNCTION("STDEV.S(FILTER({Trial1!D4,Trial2!D4,Trial3!D4}, {Trial1!D4,Trial2!D4,Trial3!D4}&lt;&gt;0)) / SQRT(COUNTIF({Trial1!D4,Trial2!D4,Trial3!D4}, ""&lt;&gt;0""))"),0.14683361710150414)</f>
        <v>0.1468336171</v>
      </c>
      <c r="E4" s="6">
        <f>IFERROR(__xludf.DUMMYFUNCTION("STDEV.S(FILTER({Trial1!E4,Trial2!E4,Trial3!E4}, {Trial1!E4,Trial2!E4,Trial3!E4}&lt;&gt;0)) / SQRT(COUNTIF({Trial1!E4,Trial2!E4,Trial3!E4}, ""&lt;&gt;0""))"),0.1617944512164878)</f>
        <v>0.1617944512</v>
      </c>
      <c r="F4" s="6">
        <f>IFERROR(__xludf.DUMMYFUNCTION("STDEV.S(FILTER({Trial1!F4,Trial2!F4,Trial3!F4}, {Trial1!F4,Trial2!F4,Trial3!F4}&lt;&gt;0)) / SQRT(COUNTIF({Trial1!F4,Trial2!F4,Trial3!F4}, ""&lt;&gt;0""))"),0.002159031230755263)</f>
        <v>0.002159031231</v>
      </c>
      <c r="G4" s="6">
        <f>IFERROR(__xludf.DUMMYFUNCTION("STDEV.S(FILTER({Trial1!G4,Trial2!G4,Trial3!G4}, {Trial1!G4,Trial2!G4,Trial3!G4}&lt;&gt;0)) / SQRT(COUNTIF({Trial1!G4,Trial2!G4,Trial3!G4}, ""&lt;&gt;0""))"),0.002020725942163788)</f>
        <v>0.002020725942</v>
      </c>
      <c r="H4" s="6">
        <f>IFERROR(__xludf.DUMMYFUNCTION("STDEV.S(FILTER({Trial1!H4,Trial2!H4,Trial3!H4}, {Trial1!H4,Trial2!H4,Trial3!H4}&lt;&gt;0)) / SQRT(COUNTIF({Trial1!H4,Trial2!H4,Trial3!H4}, ""&lt;&gt;0""))"),0.20351596988934312)</f>
        <v>0.2035159699</v>
      </c>
      <c r="I4" s="6">
        <f>IFERROR(__xludf.DUMMYFUNCTION("STDEV.S(FILTER({Trial1!I4,Trial2!I4,Trial3!I4}, {Trial1!I4,Trial2!I4,Trial3!I4}&lt;&gt;0)) / SQRT(COUNTIF({Trial1!I4,Trial2!I4,Trial3!I4}, ""&lt;&gt;0""))"),0.2110215233888084)</f>
        <v>0.2110215234</v>
      </c>
      <c r="J4" s="6">
        <f>IFERROR(__xludf.DUMMYFUNCTION("STDEV.S(FILTER({Trial1!J4,Trial2!J4,Trial3!J4}, {Trial1!J4,Trial2!J4,Trial3!J4}&lt;&gt;0)) / SQRT(COUNTIF({Trial1!J4,Trial2!J4,Trial3!J4}, ""&lt;&gt;0""))"),0.0415250928154692)</f>
        <v>0.04152509282</v>
      </c>
      <c r="K4" s="19">
        <f>IFERROR(__xludf.DUMMYFUNCTION("STDEV.S(FILTER({Trial1!K4,Trial2!K4,Trial3!K4}, {Trial1!K4,Trial2!K4,Trial3!K4}&lt;&gt;0)) / SQRT(COUNTIF({Trial1!K4,Trial2!K4,Trial3!K4}, ""&lt;&gt;0""))"),0.14289419162443243)</f>
        <v>0.1428941916</v>
      </c>
    </row>
    <row r="5">
      <c r="A5" s="8" t="s">
        <v>14</v>
      </c>
      <c r="B5" s="10">
        <f>IFERROR(__xludf.DUMMYFUNCTION("STDEV.S(FILTER({Trial1!B5,Trial2!B5,Trial3!B5}, {Trial1!B5,Trial2!B5,Trial3!B5}&lt;&gt;0)) / SQRT(COUNTIF({Trial1!B5,Trial2!B5,Trial3!B5}, ""&lt;&gt;0""))"),0.04878609774652333)</f>
        <v>0.04878609775</v>
      </c>
      <c r="C5" s="10">
        <f>IFERROR(__xludf.DUMMYFUNCTION("STDEV.S(FILTER({Trial1!C5,Trial2!C5,Trial3!C5}, {Trial1!C5,Trial2!C5,Trial3!C5}&lt;&gt;0)) / SQRT(COUNTIF({Trial1!C5,Trial2!C5,Trial3!C5}, ""&lt;&gt;0""))"),0.06890895765025376)</f>
        <v>0.06890895765</v>
      </c>
      <c r="D5" s="10">
        <f>IFERROR(__xludf.DUMMYFUNCTION("STDEV.S(FILTER({Trial1!D5,Trial2!D5,Trial3!D5}, {Trial1!D5,Trial2!D5,Trial3!D5}&lt;&gt;0)) / SQRT(COUNTIF({Trial1!D5,Trial2!D5,Trial3!D5}, ""&lt;&gt;0""))"),0.04333717931650734)</f>
        <v>0.04333717932</v>
      </c>
      <c r="E5" s="10">
        <f>IFERROR(__xludf.DUMMYFUNCTION("STDEV.S(FILTER({Trial1!E5,Trial2!E5,Trial3!E5}, {Trial1!E5,Trial2!E5,Trial3!E5}&lt;&gt;0)) / SQRT(COUNTIF({Trial1!E5,Trial2!E5,Trial3!E5}, ""&lt;&gt;0""))"),0.048013886880082284)</f>
        <v>0.04801388688</v>
      </c>
      <c r="F5" s="10">
        <f>IFERROR(__xludf.DUMMYFUNCTION("STDEV.S(FILTER({Trial1!F5,Trial2!F5,Trial3!F5}, {Trial1!F5,Trial2!F5,Trial3!F5}&lt;&gt;0)) / SQRT(COUNTIF({Trial1!F5,Trial2!F5,Trial3!F5}, ""&lt;&gt;0""))"),0.0028198816687909157)</f>
        <v>0.002819881669</v>
      </c>
      <c r="G5" s="10">
        <f>IFERROR(__xludf.DUMMYFUNCTION("STDEV.S(FILTER({Trial1!G5,Trial2!G5,Trial3!G5}, {Trial1!G5,Trial2!G5,Trial3!G5}&lt;&gt;0)) / SQRT(COUNTIF({Trial1!G5,Trial2!G5,Trial3!G5}, ""&lt;&gt;0""))"),0.002598076211353222)</f>
        <v>0.002598076211</v>
      </c>
      <c r="H5" s="10">
        <f>IFERROR(__xludf.DUMMYFUNCTION("STDEV.S(FILTER({Trial1!H5,Trial2!H5,Trial3!H5}, {Trial1!H5,Trial2!H5,Trial3!H5}&lt;&gt;0)) / SQRT(COUNTIF({Trial1!H5,Trial2!H5,Trial3!H5}, ""&lt;&gt;0""))"),0.12182090679901116)</f>
        <v>0.1218209068</v>
      </c>
      <c r="I5" s="10">
        <f>IFERROR(__xludf.DUMMYFUNCTION("STDEV.S(FILTER({Trial1!I5,Trial2!I5,Trial3!I5}, {Trial1!I5,Trial2!I5,Trial3!I5}&lt;&gt;0)) / SQRT(COUNTIF({Trial1!I5,Trial2!I5,Trial3!I5}, ""&lt;&gt;0""))"),0.03175426480542945)</f>
        <v>0.03175426481</v>
      </c>
      <c r="J5" s="10">
        <f>IFERROR(__xludf.DUMMYFUNCTION("STDEV.S(FILTER({Trial1!J5,Trial2!J5,Trial3!J5}, {Trial1!J5,Trial2!J5,Trial3!J5}&lt;&gt;0)) / SQRT(COUNTIF({Trial1!J5,Trial2!J5,Trial3!J5}, ""&lt;&gt;0""))"),0.018478215402046944)</f>
        <v>0.0184782154</v>
      </c>
      <c r="K5" s="21">
        <f>IFERROR(__xludf.DUMMYFUNCTION("STDEV.S(FILTER({Trial1!K5,Trial2!K5,Trial3!K5}, {Trial1!K5,Trial2!K5,Trial3!K5}&lt;&gt;0)) / SQRT(COUNTIF({Trial1!K5,Trial2!K5,Trial3!K5}, ""&lt;&gt;0""))"),0.030888239401645007)</f>
        <v>0.0308882394</v>
      </c>
    </row>
    <row r="6">
      <c r="A6" s="4" t="s">
        <v>15</v>
      </c>
      <c r="B6" s="6">
        <f>IFERROR(__xludf.DUMMYFUNCTION("STDEV.S(FILTER({Trial1!B6,Trial2!B6,Trial3!B6}, {Trial1!B6,Trial2!B6,Trial3!B6}&lt;&gt;0)) / SQRT(COUNTIF({Trial1!B6,Trial2!B6,Trial3!B6}, ""&lt;&gt;0""))"),0.019341234017852458)</f>
        <v>0.01934123402</v>
      </c>
      <c r="C6" s="6">
        <f>IFERROR(__xludf.DUMMYFUNCTION("STDEV.S(FILTER({Trial1!C6,Trial2!C6,Trial3!C6}, {Trial1!C6,Trial2!C6,Trial3!C6}&lt;&gt;0)) / SQRT(COUNTIF({Trial1!C6,Trial2!C6,Trial3!C6}, ""&lt;&gt;0""))"),0.015452435981999017)</f>
        <v>0.01545243598</v>
      </c>
      <c r="D6" s="6">
        <f>IFERROR(__xludf.DUMMYFUNCTION("STDEV.S(FILTER({Trial1!D6,Trial2!D6,Trial3!D6}, {Trial1!D6,Trial2!D6,Trial3!D6}&lt;&gt;0)) / SQRT(COUNTIF({Trial1!D6,Trial2!D6,Trial3!D6}, ""&lt;&gt;0""))"),0.009000000000000006)</f>
        <v>0.009</v>
      </c>
      <c r="E6" s="6">
        <f>IFERROR(__xludf.DUMMYFUNCTION("STDEV.S(FILTER({Trial1!E6,Trial2!E6,Trial3!E6}, {Trial1!E6,Trial2!E6,Trial3!E6}&lt;&gt;0)) / SQRT(COUNTIF({Trial1!E6,Trial2!E6,Trial3!E6}, ""&lt;&gt;0""))"),0.010263202878893766)</f>
        <v>0.01026320288</v>
      </c>
      <c r="F6" s="6">
        <f>IFERROR(__xludf.DUMMYFUNCTION("STDEV.S(FILTER({Trial1!F6,Trial2!F6,Trial3!F6}, {Trial1!F6,Trial2!F6,Trial3!F6}&lt;&gt;0)) / SQRT(COUNTIF({Trial1!F6,Trial2!F6,Trial3!F6}, ""&lt;&gt;0""))"),3.0823054693833164E-4)</f>
        <v>0.0003082305469</v>
      </c>
      <c r="G6" s="6">
        <f>IFERROR(__xludf.DUMMYFUNCTION("STDEV.S(FILTER({Trial1!G6,Trial2!G6,Trial3!G6}, {Trial1!G6,Trial2!G6,Trial3!G6}&lt;&gt;0)) / SQRT(COUNTIF({Trial1!G6,Trial2!G6,Trial3!G6}, ""&lt;&gt;0""))"),2.8867513459481317E-4)</f>
        <v>0.0002886751346</v>
      </c>
      <c r="H6" s="6">
        <f>IFERROR(__xludf.DUMMYFUNCTION("STDEV.S(FILTER({Trial1!H6,Trial2!H6,Trial3!H6}, {Trial1!H6,Trial2!H6,Trial3!H6}&lt;&gt;0)) / SQRT(COUNTIF({Trial1!H6,Trial2!H6,Trial3!H6}, ""&lt;&gt;0""))"),0.010680979980008063)</f>
        <v>0.01068097998</v>
      </c>
      <c r="I6" s="6">
        <f>IFERROR(__xludf.DUMMYFUNCTION("STDEV.S(FILTER({Trial1!I6,Trial2!I6,Trial3!I6}, {Trial1!I6,Trial2!I6,Trial3!I6}&lt;&gt;0)) / SQRT(COUNTIF({Trial1!I6,Trial2!I6,Trial3!I6}, ""&lt;&gt;0""))"),0.013567731325956215)</f>
        <v>0.01356773133</v>
      </c>
      <c r="J6" s="6">
        <f>IFERROR(__xludf.DUMMYFUNCTION("STDEV.S(FILTER({Trial1!J6,Trial2!J6,Trial3!J6}, {Trial1!J6,Trial2!J6,Trial3!J6}&lt;&gt;0)) / SQRT(COUNTIF({Trial1!J6,Trial2!J6,Trial3!J6}, ""&lt;&gt;0""))"),0.002886751345948129)</f>
        <v>0.002886751346</v>
      </c>
      <c r="K6" s="19">
        <f>IFERROR(__xludf.DUMMYFUNCTION("STDEV.S(FILTER({Trial1!K6,Trial2!K6,Trial3!K6}, {Trial1!K6,Trial2!K6,Trial3!K6}&lt;&gt;0)) / SQRT(COUNTIF({Trial1!K6,Trial2!K6,Trial3!K6}, ""&lt;&gt;0""))"),0.008948929172439203)</f>
        <v>0.008948929172</v>
      </c>
    </row>
    <row r="7">
      <c r="A7" s="8" t="s">
        <v>16</v>
      </c>
      <c r="B7" s="10">
        <f>IFERROR(__xludf.DUMMYFUNCTION("STDEV.S(FILTER({Trial1!B7,Trial2!B7,Trial3!B7}, {Trial1!B7,Trial2!B7,Trial3!B7}&lt;&gt;0)) / SQRT(COUNTIF({Trial1!B7,Trial2!B7,Trial3!B7}, ""&lt;&gt;0""))"),7.93856620135736E-7)</f>
        <v>0.0000007938566201</v>
      </c>
      <c r="C7" s="10">
        <f>IFERROR(__xludf.DUMMYFUNCTION("STDEV.S(FILTER({Trial1!C7,Trial2!C7,Trial3!C7}, {Trial1!C7,Trial2!C7,Trial3!C7}&lt;&gt;0)) / SQRT(COUNTIF({Trial1!C7,Trial2!C7,Trial3!C7}, ""&lt;&gt;0""))"),9.386929447079301E-7)</f>
        <v>0.0000009386929447</v>
      </c>
      <c r="D7" s="10">
        <f>IFERROR(__xludf.DUMMYFUNCTION("STDEV.S(FILTER({Trial1!D7,Trial2!D7,Trial3!D7}, {Trial1!D7,Trial2!D7,Trial3!D7}&lt;&gt;0)) / SQRT(COUNTIF({Trial1!D7,Trial2!D7,Trial3!D7}, ""&lt;&gt;0""))"),9.433333333333338E-7)</f>
        <v>0.0000009433333333</v>
      </c>
      <c r="E7" s="10">
        <f>IFERROR(__xludf.DUMMYFUNCTION("STDEV.S(FILTER({Trial1!E7,Trial2!E7,Trial3!E7}, {Trial1!E7,Trial2!E7,Trial3!E7}&lt;&gt;0)) / SQRT(COUNTIF({Trial1!E7,Trial2!E7,Trial3!E7}, ""&lt;&gt;0""))"),9.183378705272071E-7)</f>
        <v>0.0000009183378705</v>
      </c>
      <c r="F7" s="10">
        <f>IFERROR(__xludf.DUMMYFUNCTION("STDEV.S(FILTER({Trial1!F7,Trial2!F7,Trial3!F7}, {Trial1!F7,Trial2!F7,Trial3!F7}&lt;&gt;0)) / SQRT(COUNTIF({Trial1!F7,Trial2!F7,Trial3!F7}, ""&lt;&gt;0""))"),0.0)</f>
        <v>0</v>
      </c>
      <c r="G7" s="10">
        <f>IFERROR(__xludf.DUMMYFUNCTION("STDEV.S(FILTER({Trial1!G7,Trial2!G7,Trial3!G7}, {Trial1!G7,Trial2!G7,Trial3!G7}&lt;&gt;0)) / SQRT(COUNTIF({Trial1!G7,Trial2!G7,Trial3!G7}, ""&lt;&gt;0""))"),0.0)</f>
        <v>0</v>
      </c>
      <c r="H7" s="10">
        <f>IFERROR(__xludf.DUMMYFUNCTION("STDEV.S(FILTER({Trial1!H7,Trial2!H7,Trial3!H7}, {Trial1!H7,Trial2!H7,Trial3!H7}&lt;&gt;0)) / SQRT(COUNTIF({Trial1!H7,Trial2!H7,Trial3!H7}, ""&lt;&gt;0""))"),8.284976362871131E-7)</f>
        <v>0.0000008284976363</v>
      </c>
      <c r="I7" s="10">
        <f>IFERROR(__xludf.DUMMYFUNCTION("STDEV.S(FILTER({Trial1!I7,Trial2!I7,Trial3!I7}, {Trial1!I7,Trial2!I7,Trial3!I7}&lt;&gt;0)) / SQRT(COUNTIF({Trial1!I7,Trial2!I7,Trial3!I7}, ""&lt;&gt;0""))"),7.93856620135736E-7)</f>
        <v>0.0000007938566201</v>
      </c>
      <c r="J7" s="10">
        <f>IFERROR(__xludf.DUMMYFUNCTION("STDEV.S(FILTER({Trial1!J7,Trial2!J7,Trial3!J7}, {Trial1!J7,Trial2!J7,Trial3!J7}&lt;&gt;0)) / SQRT(COUNTIF({Trial1!J7,Trial2!J7,Trial3!J7}, ""&lt;&gt;0""))"),9.468251041125702E-7)</f>
        <v>0.0000009468251041</v>
      </c>
      <c r="K7" s="21">
        <f>IFERROR(__xludf.DUMMYFUNCTION("STDEV.S(FILTER({Trial1!K7,Trial2!K7,Trial3!K7}, {Trial1!K7,Trial2!K7,Trial3!K7}&lt;&gt;0)) / SQRT(COUNTIF({Trial1!K7,Trial2!K7,Trial3!K7}, ""&lt;&gt;0""))"),8.227241335952157E-7)</f>
        <v>0.0000008227241336</v>
      </c>
    </row>
    <row r="8">
      <c r="A8" s="4" t="s">
        <v>17</v>
      </c>
      <c r="B8" s="6">
        <f>IFERROR(__xludf.DUMMYFUNCTION("STDEV.S(FILTER({Trial1!B8,Trial2!B8,Trial3!B8}, {Trial1!B8,Trial2!B8,Trial3!B8}&lt;&gt;0)) / SQRT(COUNTIF({Trial1!B8,Trial2!B8,Trial3!B8}, ""&lt;&gt;0""))"),43.54491200281997)</f>
        <v>43.544912</v>
      </c>
      <c r="C8" s="6">
        <f>IFERROR(__xludf.DUMMYFUNCTION("STDEV.S(FILTER({Trial1!C8,Trial2!C8,Trial3!C8}, {Trial1!C8,Trial2!C8,Trial3!C8}&lt;&gt;0)) / SQRT(COUNTIF({Trial1!C8,Trial2!C8,Trial3!C8}, ""&lt;&gt;0""))"),70.4923243961907)</f>
        <v>70.4923244</v>
      </c>
      <c r="D8" s="6">
        <f>IFERROR(__xludf.DUMMYFUNCTION("STDEV.S(FILTER({Trial1!D8,Trial2!D8,Trial3!D8}, {Trial1!D8,Trial2!D8,Trial3!D8}&lt;&gt;0)) / SQRT(COUNTIF({Trial1!D8,Trial2!D8,Trial3!D8}, ""&lt;&gt;0""))"),44.36385873784102)</f>
        <v>44.36385874</v>
      </c>
      <c r="E8" s="6">
        <f>IFERROR(__xludf.DUMMYFUNCTION("STDEV.S(FILTER({Trial1!E8,Trial2!E8,Trial3!E8}, {Trial1!E8,Trial2!E8,Trial3!E8}&lt;&gt;0)) / SQRT(COUNTIF({Trial1!E8,Trial2!E8,Trial3!E8}, ""&lt;&gt;0""))"),43.38463772017818)</f>
        <v>43.38463772</v>
      </c>
      <c r="F8" s="6">
        <f>IFERROR(__xludf.DUMMYFUNCTION("STDEV.S(FILTER({Trial1!F8,Trial2!F8,Trial3!F8}, {Trial1!F8,Trial2!F8,Trial3!F8}&lt;&gt;0)) / SQRT(COUNTIF({Trial1!F8,Trial2!F8,Trial3!F8}, ""&lt;&gt;0""))"),2.1079953840883974)</f>
        <v>2.107995384</v>
      </c>
      <c r="G8" s="6">
        <f>IFERROR(__xludf.DUMMYFUNCTION("STDEV.S(FILTER({Trial1!G8,Trial2!G8,Trial3!G8}, {Trial1!G8,Trial2!G8,Trial3!G8}&lt;&gt;0)) / SQRT(COUNTIF({Trial1!G8,Trial2!G8,Trial3!G8}, ""&lt;&gt;0""))"),1.9733832200900134)</f>
        <v>1.97338322</v>
      </c>
      <c r="H8" s="6">
        <f>IFERROR(__xludf.DUMMYFUNCTION("STDEV.S(FILTER({Trial1!H8,Trial2!H8,Trial3!H8}, {Trial1!H8,Trial2!H8,Trial3!H8}&lt;&gt;0)) / SQRT(COUNTIF({Trial1!H8,Trial2!H8,Trial3!H8}, ""&lt;&gt;0""))"),121.51750923255184)</f>
        <v>121.5175092</v>
      </c>
      <c r="I8" s="6">
        <f>IFERROR(__xludf.DUMMYFUNCTION("STDEV.S(FILTER({Trial1!I8,Trial2!I8,Trial3!I8}, {Trial1!I8,Trial2!I8,Trial3!I8}&lt;&gt;0)) / SQRT(COUNTIF({Trial1!I8,Trial2!I8,Trial3!I8}, ""&lt;&gt;0""))"),28.45124391539557)</f>
        <v>28.45124392</v>
      </c>
      <c r="J8" s="6">
        <f>IFERROR(__xludf.DUMMYFUNCTION("STDEV.S(FILTER({Trial1!J8,Trial2!J8,Trial3!J8}, {Trial1!J8,Trial2!J8,Trial3!J8}&lt;&gt;0)) / SQRT(COUNTIF({Trial1!J8,Trial2!J8,Trial3!J8}, ""&lt;&gt;0""))"),17.280368961467357)</f>
        <v>17.28036896</v>
      </c>
      <c r="K8" s="19">
        <f>IFERROR(__xludf.DUMMYFUNCTION("STDEV.S(FILTER({Trial1!K8,Trial2!K8,Trial3!K8}, {Trial1!K8,Trial2!K8,Trial3!K8}&lt;&gt;0)) / SQRT(COUNTIF({Trial1!K8,Trial2!K8,Trial3!K8}, ""&lt;&gt;0""))"),33.36189662998792)</f>
        <v>33.36189663</v>
      </c>
    </row>
    <row r="9">
      <c r="A9" s="8" t="s">
        <v>18</v>
      </c>
      <c r="B9" s="10">
        <f>IFERROR(__xludf.DUMMYFUNCTION("STDEV.S(FILTER({Trial1!B9,Trial2!B9,Trial3!B9}, {Trial1!B9,Trial2!B9,Trial3!B9}&lt;&gt;0)) / SQRT(COUNTIF({Trial1!B9,Trial2!B9,Trial3!B9}, ""&lt;&gt;0""))"),2.886751345947811E-5)</f>
        <v>0.00002886751346</v>
      </c>
      <c r="C9" s="10">
        <f>IFERROR(__xludf.DUMMYFUNCTION("STDEV.S(FILTER({Trial1!C9,Trial2!C9,Trial3!C9}, {Trial1!C9,Trial2!C9,Trial3!C9}&lt;&gt;0)) / SQRT(COUNTIF({Trial1!C9,Trial2!C9,Trial3!C9}, ""&lt;&gt;0""))"),2.776288489652447E-4)</f>
        <v>0.000277628849</v>
      </c>
      <c r="D9" s="10">
        <f>IFERROR(__xludf.DUMMYFUNCTION("STDEV.S(FILTER({Trial1!D9,Trial2!D9,Trial3!D9}, {Trial1!D9,Trial2!D9,Trial3!D9}&lt;&gt;0)) / SQRT(COUNTIF({Trial1!D9,Trial2!D9,Trial3!D9}, ""&lt;&gt;0""))"),1.273228616985601E-4)</f>
        <v>0.0001273228617</v>
      </c>
      <c r="E9" s="10">
        <f>IFERROR(__xludf.DUMMYFUNCTION("STDEV.S(FILTER({Trial1!E9,Trial2!E9,Trial3!E9}, {Trial1!E9,Trial2!E9,Trial3!E9}&lt;&gt;0)) / SQRT(COUNTIF({Trial1!E9,Trial2!E9,Trial3!E9}, ""&lt;&gt;0""))"),1.2666666666662219E-4)</f>
        <v>0.0001266666667</v>
      </c>
      <c r="F9" s="10">
        <f>IFERROR(__xludf.DUMMYFUNCTION("STDEV.S(FILTER({Trial1!F9,Trial2!F9,Trial3!F9}, {Trial1!F9,Trial2!F9,Trial3!F9}&lt;&gt;0)) / SQRT(COUNTIF({Trial1!F9,Trial2!F9,Trial3!F9}, ""&lt;&gt;0""))"),0.051164245277820763)</f>
        <v>0.05116424528</v>
      </c>
      <c r="G9" s="10">
        <f>IFERROR(__xludf.DUMMYFUNCTION("STDEV.S(FILTER({Trial1!G9,Trial2!G9,Trial3!G9}, {Trial1!G9,Trial2!G9,Trial3!G9}&lt;&gt;0)) / SQRT(COUNTIF({Trial1!G9,Trial2!G9,Trial3!G9}, ""&lt;&gt;0""))"),0.03877484407877527)</f>
        <v>0.03877484408</v>
      </c>
      <c r="H9" s="10">
        <f>IFERROR(__xludf.DUMMYFUNCTION("STDEV.S(FILTER({Trial1!H9,Trial2!H9,Trial3!H9}, {Trial1!H9,Trial2!H9,Trial3!H9}&lt;&gt;0)) / SQRT(COUNTIF({Trial1!H9,Trial2!H9,Trial3!H9}, ""&lt;&gt;0""))"),5.773502691895622E-5)</f>
        <v>0.00005773502692</v>
      </c>
      <c r="I9" s="10">
        <f>IFERROR(__xludf.DUMMYFUNCTION("STDEV.S(FILTER({Trial1!I9,Trial2!I9,Trial3!I9}, {Trial1!I9,Trial2!I9,Trial3!I9}&lt;&gt;0)) / SQRT(COUNTIF({Trial1!I9,Trial2!I9,Trial3!I9}, ""&lt;&gt;0""))"),1.732050807572212E-5)</f>
        <v>0.00001732050808</v>
      </c>
      <c r="J9" s="10">
        <f>IFERROR(__xludf.DUMMYFUNCTION("STDEV.S(FILTER({Trial1!J9,Trial2!J9,Trial3!J9}, {Trial1!J9,Trial2!J9,Trial3!J9}&lt;&gt;0)) / SQRT(COUNTIF({Trial1!J9,Trial2!J9,Trial3!J9}, ""&lt;&gt;0""))"),6.765927710062822E-5)</f>
        <v>0.0000676592771</v>
      </c>
      <c r="K9" s="21">
        <f>IFERROR(__xludf.DUMMYFUNCTION("STDEV.S(FILTER({Trial1!K9,Trial2!K9,Trial3!K9}, {Trial1!K9,Trial2!K9,Trial3!K9}&lt;&gt;0)) / SQRT(COUNTIF({Trial1!K9,Trial2!K9,Trial3!K9}, ""&lt;&gt;0""))"),7.62102355330299E-4)</f>
        <v>0.0007621023553</v>
      </c>
    </row>
    <row r="10">
      <c r="A10" s="4" t="s">
        <v>19</v>
      </c>
      <c r="B10" s="6">
        <f>IFERROR(__xludf.DUMMYFUNCTION("STDEV.S(FILTER({Trial1!B10,Trial2!B10,Trial3!B10}, {Trial1!B10,Trial2!B10,Trial3!B10}&lt;&gt;0)) / SQRT(COUNTIF({Trial1!B10,Trial2!B10,Trial3!B10}, ""&lt;&gt;0""))"),2.598076211351107E-5)</f>
        <v>0.00002598076211</v>
      </c>
      <c r="C10" s="6">
        <f>IFERROR(__xludf.DUMMYFUNCTION("STDEV.S(FILTER({Trial1!C10,Trial2!C10,Trial3!C10}, {Trial1!C10,Trial2!C10,Trial3!C10}&lt;&gt;0)) / SQRT(COUNTIF({Trial1!C10,Trial2!C10,Trial3!C10}, ""&lt;&gt;0""))"),2.57703533369466E-4)</f>
        <v>0.0002577035334</v>
      </c>
      <c r="D10" s="6">
        <f>IFERROR(__xludf.DUMMYFUNCTION("STDEV.S(FILTER({Trial1!D10,Trial2!D10,Trial3!D10}, {Trial1!D10,Trial2!D10,Trial3!D10}&lt;&gt;0)) / SQRT(COUNTIF({Trial1!D10,Trial2!D10,Trial3!D10}, ""&lt;&gt;0""))"),1.273228616985601E-4)</f>
        <v>0.0001273228617</v>
      </c>
      <c r="E10" s="6">
        <f>IFERROR(__xludf.DUMMYFUNCTION("STDEV.S(FILTER({Trial1!E10,Trial2!E10,Trial3!E10}, {Trial1!E10,Trial2!E10,Trial3!E10}&lt;&gt;0)) / SQRT(COUNTIF({Trial1!E10,Trial2!E10,Trial3!E10}, ""&lt;&gt;0""))"),1.2666666666662219E-4)</f>
        <v>0.0001266666667</v>
      </c>
      <c r="F10" s="6">
        <f>IFERROR(__xludf.DUMMYFUNCTION("STDEV.S(FILTER({Trial1!F10,Trial2!F10,Trial3!F10}, {Trial1!F10,Trial2!F10,Trial3!F10}&lt;&gt;0)) / SQRT(COUNTIF({Trial1!F10,Trial2!F10,Trial3!F10}, ""&lt;&gt;0""))"),0.033414323890681434)</f>
        <v>0.03341432389</v>
      </c>
      <c r="G10" s="6">
        <f>IFERROR(__xludf.DUMMYFUNCTION("STDEV.S(FILTER({Trial1!G10,Trial2!G10,Trial3!G10}, {Trial1!G10,Trial2!G10,Trial3!G10}&lt;&gt;0)) / SQRT(COUNTIF({Trial1!G10,Trial2!G10,Trial3!G10}, ""&lt;&gt;0""))"),0.025339903314732667)</f>
        <v>0.02533990331</v>
      </c>
      <c r="H10" s="6">
        <f>IFERROR(__xludf.DUMMYFUNCTION("STDEV.S(FILTER({Trial1!H10,Trial2!H10,Trial3!H10}, {Trial1!H10,Trial2!H10,Trial3!H10}&lt;&gt;0)) / SQRT(COUNTIF({Trial1!H10,Trial2!H10,Trial3!H10}, ""&lt;&gt;0""))"),5.773502691895622E-5)</f>
        <v>0.00005773502692</v>
      </c>
      <c r="I10" s="6">
        <f>IFERROR(__xludf.DUMMYFUNCTION("STDEV.S(FILTER({Trial1!I10,Trial2!I10,Trial3!I10}, {Trial1!I10,Trial2!I10,Trial3!I10}&lt;&gt;0)) / SQRT(COUNTIF({Trial1!I10,Trial2!I10,Trial3!I10}, ""&lt;&gt;0""))"),1.732050807569007E-5)</f>
        <v>0.00001732050808</v>
      </c>
      <c r="J10" s="6">
        <f>IFERROR(__xludf.DUMMYFUNCTION("STDEV.S(FILTER({Trial1!J10,Trial2!J10,Trial3!J10}, {Trial1!J10,Trial2!J10,Trial3!J10}&lt;&gt;0)) / SQRT(COUNTIF({Trial1!J10,Trial2!J10,Trial3!J10}, ""&lt;&gt;0""))"),6.765927710062822E-5)</f>
        <v>0.0000676592771</v>
      </c>
      <c r="K10" s="19">
        <f>IFERROR(__xludf.DUMMYFUNCTION("STDEV.S(FILTER({Trial1!K10,Trial2!K10,Trial3!K10}, {Trial1!K10,Trial2!K10,Trial3!K10}&lt;&gt;0)) / SQRT(COUNTIF({Trial1!K10,Trial2!K10,Trial3!K10}, ""&lt;&gt;0""))"),7.50555349946511E-4)</f>
        <v>0.0007505553499</v>
      </c>
    </row>
    <row r="11">
      <c r="A11" s="8" t="s">
        <v>20</v>
      </c>
      <c r="B11" s="10">
        <f>IFERROR(__xludf.DUMMYFUNCTION("STDEV.S(FILTER({Trial1!B11,Trial2!B11,Trial3!B11}, {Trial1!B11,Trial2!B11,Trial3!B11}&lt;&gt;0)) / SQRT(COUNTIF({Trial1!B11,Trial2!B11,Trial3!B11}, ""&lt;&gt;0""))"),2.886751345947811E-5)</f>
        <v>0.00002886751346</v>
      </c>
      <c r="C11" s="10">
        <f>IFERROR(__xludf.DUMMYFUNCTION("STDEV.S(FILTER({Trial1!C11,Trial2!C11,Trial3!C11}, {Trial1!C11,Trial2!C11,Trial3!C11}&lt;&gt;0)) / SQRT(COUNTIF({Trial1!C11,Trial2!C11,Trial3!C11}, ""&lt;&gt;0""))"),2.776288489652447E-4)</f>
        <v>0.000277628849</v>
      </c>
      <c r="D11" s="10">
        <f>IFERROR(__xludf.DUMMYFUNCTION("STDEV.S(FILTER({Trial1!D11,Trial2!D11,Trial3!D11}, {Trial1!D11,Trial2!D11,Trial3!D11}&lt;&gt;0)) / SQRT(COUNTIF({Trial1!D11,Trial2!D11,Trial3!D11}, ""&lt;&gt;0""))"),1.273228616985601E-4)</f>
        <v>0.0001273228617</v>
      </c>
      <c r="E11" s="10">
        <f>IFERROR(__xludf.DUMMYFUNCTION("STDEV.S(FILTER({Trial1!E11,Trial2!E11,Trial3!E11}, {Trial1!E11,Trial2!E11,Trial3!E11}&lt;&gt;0)) / SQRT(COUNTIF({Trial1!E11,Trial2!E11,Trial3!E11}, ""&lt;&gt;0""))"),1.2666666666662219E-4)</f>
        <v>0.0001266666667</v>
      </c>
      <c r="F11" s="10">
        <f>IFERROR(__xludf.DUMMYFUNCTION("STDEV.S(FILTER({Trial1!F11,Trial2!F11,Trial3!F11}, {Trial1!F11,Trial2!F11,Trial3!F11}&lt;&gt;0)) / SQRT(COUNTIF({Trial1!F11,Trial2!F11,Trial3!F11}, ""&lt;&gt;0""))"),0.051164245277820763)</f>
        <v>0.05116424528</v>
      </c>
      <c r="G11" s="10">
        <f>IFERROR(__xludf.DUMMYFUNCTION("STDEV.S(FILTER({Trial1!G11,Trial2!G11,Trial3!G11}, {Trial1!G11,Trial2!G11,Trial3!G11}&lt;&gt;0)) / SQRT(COUNTIF({Trial1!G11,Trial2!G11,Trial3!G11}, ""&lt;&gt;0""))"),0.03877484407877527)</f>
        <v>0.03877484408</v>
      </c>
      <c r="H11" s="10">
        <f>IFERROR(__xludf.DUMMYFUNCTION("STDEV.S(FILTER({Trial1!H11,Trial2!H11,Trial3!H11}, {Trial1!H11,Trial2!H11,Trial3!H11}&lt;&gt;0)) / SQRT(COUNTIF({Trial1!H11,Trial2!H11,Trial3!H11}, ""&lt;&gt;0""))"),5.773502691895622E-5)</f>
        <v>0.00005773502692</v>
      </c>
      <c r="I11" s="10">
        <f>IFERROR(__xludf.DUMMYFUNCTION("STDEV.S(FILTER({Trial1!I11,Trial2!I11,Trial3!I11}, {Trial1!I11,Trial2!I11,Trial3!I11}&lt;&gt;0)) / SQRT(COUNTIF({Trial1!I11,Trial2!I11,Trial3!I11}, ""&lt;&gt;0""))"),1.732050807572212E-5)</f>
        <v>0.00001732050808</v>
      </c>
      <c r="J11" s="10">
        <f>IFERROR(__xludf.DUMMYFUNCTION("STDEV.S(FILTER({Trial1!J11,Trial2!J11,Trial3!J11}, {Trial1!J11,Trial2!J11,Trial3!J11}&lt;&gt;0)) / SQRT(COUNTIF({Trial1!J11,Trial2!J11,Trial3!J11}, ""&lt;&gt;0""))"),6.765927710062822E-5)</f>
        <v>0.0000676592771</v>
      </c>
      <c r="K11" s="21">
        <f>IFERROR(__xludf.DUMMYFUNCTION("STDEV.S(FILTER({Trial1!K11,Trial2!K11,Trial3!K11}, {Trial1!K11,Trial2!K11,Trial3!K11}&lt;&gt;0)) / SQRT(COUNTIF({Trial1!K11,Trial2!K11,Trial3!K11}, ""&lt;&gt;0""))"),7.62102355330299E-4)</f>
        <v>0.0007621023553</v>
      </c>
    </row>
    <row r="12">
      <c r="A12" s="4" t="s">
        <v>21</v>
      </c>
      <c r="B12" s="6">
        <f>IFERROR(__xludf.DUMMYFUNCTION("STDEV.S(FILTER({Trial1!B12,Trial2!B12,Trial3!B12}, {Trial1!B12,Trial2!B12,Trial3!B12}&lt;&gt;0)) / SQRT(COUNTIF({Trial1!B12,Trial2!B12,Trial3!B12}, ""&lt;&gt;0""))"),2.5980762113527094E-5)</f>
        <v>0.00002598076211</v>
      </c>
      <c r="C12" s="6">
        <f>IFERROR(__xludf.DUMMYFUNCTION("STDEV.S(FILTER({Trial1!C12,Trial2!C12,Trial3!C12}, {Trial1!C12,Trial2!C12,Trial3!C12}&lt;&gt;0)) / SQRT(COUNTIF({Trial1!C12,Trial2!C12,Trial3!C12}, ""&lt;&gt;0""))"),2.7622454633865275E-4)</f>
        <v>0.0002762245463</v>
      </c>
      <c r="D12" s="6">
        <f>IFERROR(__xludf.DUMMYFUNCTION("STDEV.S(FILTER({Trial1!D12,Trial2!D12,Trial3!D12}, {Trial1!D12,Trial2!D12,Trial3!D12}&lt;&gt;0)) / SQRT(COUNTIF({Trial1!D12,Trial2!D12,Trial3!D12}, ""&lt;&gt;0""))"),1.2414149633021784E-4)</f>
        <v>0.0001241414963</v>
      </c>
      <c r="E12" s="6">
        <f>IFERROR(__xludf.DUMMYFUNCTION("STDEV.S(FILTER({Trial1!E12,Trial2!E12,Trial3!E12}, {Trial1!E12,Trial2!E12,Trial3!E12}&lt;&gt;0)) / SQRT(COUNTIF({Trial1!E12,Trial2!E12,Trial3!E12}, ""&lt;&gt;0""))"),1.2666666666668697E-4)</f>
        <v>0.0001266666667</v>
      </c>
      <c r="F12" s="6">
        <f>IFERROR(__xludf.DUMMYFUNCTION("STDEV.S(FILTER({Trial1!F12,Trial2!F12,Trial3!F12}, {Trial1!F12,Trial2!F12,Trial3!F12}&lt;&gt;0)) / SQRT(COUNTIF({Trial1!F12,Trial2!F12,Trial3!F12}, ""&lt;&gt;0""))"),0.06620502833414965)</f>
        <v>0.06620502833</v>
      </c>
      <c r="G12" s="6">
        <f>IFERROR(__xludf.DUMMYFUNCTION("STDEV.S(FILTER({Trial1!G12,Trial2!G12,Trial3!G12}, {Trial1!G12,Trial2!G12,Trial3!G12}&lt;&gt;0)) / SQRT(COUNTIF({Trial1!G12,Trial2!G12,Trial3!G12}, ""&lt;&gt;0""))"),0.05016307813854063)</f>
        <v>0.05016307814</v>
      </c>
      <c r="H12" s="6">
        <f>IFERROR(__xludf.DUMMYFUNCTION("STDEV.S(FILTER({Trial1!H12,Trial2!H12,Trial3!H12}, {Trial1!H12,Trial2!H12,Trial3!H12}&lt;&gt;0)) / SQRT(COUNTIF({Trial1!H12,Trial2!H12,Trial3!H12}, ""&lt;&gt;0""))"),5.773502691895622E-5)</f>
        <v>0.00005773502692</v>
      </c>
      <c r="I12" s="6">
        <f>IFERROR(__xludf.DUMMYFUNCTION("STDEV.S(FILTER({Trial1!I12,Trial2!I12,Trial3!I12}, {Trial1!I12,Trial2!I12,Trial3!I12}&lt;&gt;0)) / SQRT(COUNTIF({Trial1!I12,Trial2!I12,Trial3!I12}, ""&lt;&gt;0""))"),1.732050807572212E-5)</f>
        <v>0.00001732050808</v>
      </c>
      <c r="J12" s="6">
        <f>IFERROR(__xludf.DUMMYFUNCTION("STDEV.S(FILTER({Trial1!J12,Trial2!J12,Trial3!J12}, {Trial1!J12,Trial2!J12,Trial3!J12}&lt;&gt;0)) / SQRT(COUNTIF({Trial1!J12,Trial2!J12,Trial3!J12}, ""&lt;&gt;0""))"),6.765927710062822E-5)</f>
        <v>0.0000676592771</v>
      </c>
      <c r="K12" s="19">
        <f>IFERROR(__xludf.DUMMYFUNCTION("STDEV.S(FILTER({Trial1!K12,Trial2!K12,Trial3!K12}, {Trial1!K12,Trial2!K12,Trial3!K12}&lt;&gt;0)) / SQRT(COUNTIF({Trial1!K12,Trial2!K12,Trial3!K12}, ""&lt;&gt;0""))"),7.62102355330299E-4)</f>
        <v>0.0007621023553</v>
      </c>
    </row>
    <row r="13">
      <c r="A13" s="14" t="s">
        <v>22</v>
      </c>
      <c r="B13" s="16">
        <f>IFERROR(__xludf.DUMMYFUNCTION("STDEV.S(FILTER({Trial1!B13,Trial2!B13,Trial3!B13}, {Trial1!B13,Trial2!B13,Trial3!B13}&lt;&gt;0)) / SQRT(COUNTIF({Trial1!B13,Trial2!B13,Trial3!B13}, ""&lt;&gt;0""))"),3.752776749733116E-5)</f>
        <v>0.0000375277675</v>
      </c>
      <c r="C13" s="16">
        <f>IFERROR(__xludf.DUMMYFUNCTION("STDEV.S(FILTER({Trial1!C13,Trial2!C13,Trial3!C13}, {Trial1!C13,Trial2!C13,Trial3!C13}&lt;&gt;0)) / SQRT(COUNTIF({Trial1!C13,Trial2!C13,Trial3!C13}, ""&lt;&gt;0""))"),4.277979793209682E-4)</f>
        <v>0.0004277979793</v>
      </c>
      <c r="D13" s="16">
        <f>IFERROR(__xludf.DUMMYFUNCTION("STDEV.S(FILTER({Trial1!D13,Trial2!D13,Trial3!D13}, {Trial1!D13,Trial2!D13,Trial3!D13}&lt;&gt;0)) / SQRT(COUNTIF({Trial1!D13,Trial2!D13,Trial3!D13}, ""&lt;&gt;0""))"),8.819171036883796E-6)</f>
        <v>0.000008819171037</v>
      </c>
      <c r="E13" s="16">
        <f>IFERROR(__xludf.DUMMYFUNCTION("STDEV.S(FILTER({Trial1!E13,Trial2!E13,Trial3!E13}, {Trial1!E13,Trial2!E13,Trial3!E13}&lt;&gt;0)) / SQRT(COUNTIF({Trial1!E13,Trial2!E13,Trial3!E13}, ""&lt;&gt;0""))"),4.5092497528223774E-5)</f>
        <v>0.00004509249753</v>
      </c>
      <c r="F13" s="16">
        <f>IFERROR(__xludf.DUMMYFUNCTION("STDEV.S(FILTER({Trial1!F13,Trial2!F13,Trial3!F13}, {Trial1!F13,Trial2!F13,Trial3!F13}&lt;&gt;0)) / SQRT(COUNTIF({Trial1!F13,Trial2!F13,Trial3!F13}, ""&lt;&gt;0""))"),0.029956581488400667)</f>
        <v>0.02995658149</v>
      </c>
      <c r="G13" s="16">
        <f>IFERROR(__xludf.DUMMYFUNCTION("STDEV.S(FILTER({Trial1!G13,Trial2!G13,Trial3!G13}, {Trial1!G13,Trial2!G13,Trial3!G13}&lt;&gt;0)) / SQRT(COUNTIF({Trial1!G13,Trial2!G13,Trial3!G13}, ""&lt;&gt;0""))"),0.023114218027006677)</f>
        <v>0.02311421803</v>
      </c>
      <c r="H13" s="16">
        <f>IFERROR(__xludf.DUMMYFUNCTION("STDEV.S(FILTER({Trial1!H13,Trial2!H13,Trial3!H13}, {Trial1!H13,Trial2!H13,Trial3!H13}&lt;&gt;0)) / SQRT(COUNTIF({Trial1!H13,Trial2!H13,Trial3!H13}, ""&lt;&gt;0""))"),1.1547005383804064E-5)</f>
        <v>0.00001154700538</v>
      </c>
      <c r="I13" s="16">
        <f>IFERROR(__xludf.DUMMYFUNCTION("STDEV.S(FILTER({Trial1!I13,Trial2!I13,Trial3!I13}, {Trial1!I13,Trial2!I13,Trial3!I13}&lt;&gt;0)) / SQRT(COUNTIF({Trial1!I13,Trial2!I13,Trial3!I13}, ""&lt;&gt;0""))"),4.041451884328218E-5)</f>
        <v>0.00004041451884</v>
      </c>
      <c r="J13" s="16">
        <f>IFERROR(__xludf.DUMMYFUNCTION("STDEV.S(FILTER({Trial1!J13,Trial2!J13,Trial3!J13}, {Trial1!J13,Trial2!J13,Trial3!J13}&lt;&gt;0)) / SQRT(COUNTIF({Trial1!J13,Trial2!J13,Trial3!J13}, ""&lt;&gt;0""))"),3.3333333332904082E-6)</f>
        <v>0.000003333333333</v>
      </c>
      <c r="K13" s="23">
        <f>IFERROR(__xludf.DUMMYFUNCTION("STDEV.S(FILTER({Trial1!K13,Trial2!K13,Trial3!K13}, {Trial1!K13,Trial2!K13,Trial3!K13}&lt;&gt;0)) / SQRT(COUNTIF({Trial1!K13,Trial2!K13,Trial3!K13}, ""&lt;&gt;0""))"),4.2723919920034973E-4)</f>
        <v>0.0004272391992</v>
      </c>
    </row>
  </sheetData>
  <dataValidations>
    <dataValidation type="custom" allowBlank="1" showDropDown="1" sqref="B2:K13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9.38"/>
    <col customWidth="1" min="3" max="3" width="30.88"/>
    <col customWidth="1" min="4" max="4" width="23.13"/>
    <col customWidth="1" min="5" max="5" width="24.88"/>
    <col customWidth="1" min="6" max="6" width="21.38"/>
    <col customWidth="1" min="7" max="7" width="26.88"/>
    <col customWidth="1" min="8" max="8" width="22.38"/>
    <col customWidth="1" min="9" max="9" width="33.88"/>
    <col customWidth="1" min="10" max="10" width="15.75"/>
    <col customWidth="1" min="11" max="11" width="1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 t="s">
        <v>11</v>
      </c>
      <c r="B2" s="6">
        <f>IFERROR(__xludf.DUMMYFUNCTION("CONFIDENCE.T(0.05, STDEV.S(FILTER({Trial1!B2,Trial2!B2,Trial3!B2}, {Trial1!B2,Trial2!B2,Trial3!B2}&lt;&gt;0)), COUNTIF({Trial1!B2,Trial2!B2,Trial3!B2}, ""&lt;&gt;0""))"),1.1600923113874024)</f>
        <v>1.160092311</v>
      </c>
      <c r="C2" s="6">
        <f>IFERROR(__xludf.DUMMYFUNCTION("CONFIDENCE.T(0.05, STDEV.S(FILTER({Trial1!C2,Trial2!C2,Trial3!C2}, {Trial1!C2,Trial2!C2,Trial3!C2}&lt;&gt;0)), COUNTIF({Trial1!C2,Trial2!C2,Trial3!C2}, ""&lt;&gt;0""))"),1.005222831103104)</f>
        <v>1.005222831</v>
      </c>
      <c r="D2" s="6">
        <f>IFERROR(__xludf.DUMMYFUNCTION("CONFIDENCE.T(0.05, STDEV.S(FILTER({Trial1!D2,Trial2!D2,Trial3!D2}, {Trial1!D2,Trial2!D2,Trial3!D2}&lt;&gt;0)), COUNTIF({Trial1!D2,Trial2!D2,Trial3!D2}, ""&lt;&gt;0""))"),0.48262859910324846)</f>
        <v>0.4826285991</v>
      </c>
      <c r="E2" s="6">
        <f>IFERROR(__xludf.DUMMYFUNCTION("CONFIDENCE.T(0.05, STDEV.S(FILTER({Trial1!E2,Trial2!E2,Trial3!E2}, {Trial1!E2,Trial2!E2,Trial3!E2}&lt;&gt;0)), COUNTIF({Trial1!E2,Trial2!E2,Trial3!E2}, ""&lt;&gt;0""))"),0.6048063380559983)</f>
        <v>0.6048063381</v>
      </c>
      <c r="F2" s="6">
        <f>IFERROR(__xludf.DUMMYFUNCTION("CONFIDENCE.T(0.05, STDEV.S(FILTER({Trial1!F2,Trial2!F2,Trial3!F2}, {Trial1!F2,Trial2!F2,Trial3!F2}&lt;&gt;0)), COUNTIF({Trial1!F2,Trial2!F2,Trial3!F2}, ""&lt;&gt;0""))"),0.022733880387603114)</f>
        <v>0.02273388039</v>
      </c>
      <c r="G2" s="6">
        <f>IFERROR(__xludf.DUMMYFUNCTION("CONFIDENCE.T(0.05, STDEV.S(FILTER({Trial1!G2,Trial2!G2,Trial3!G2}, {Trial1!G2,Trial2!G2,Trial3!G2}&lt;&gt;0)), COUNTIF({Trial1!G2,Trial2!G2,Trial3!G2}, ""&lt;&gt;0""))"),0.021115170549878774)</f>
        <v>0.02111517055</v>
      </c>
      <c r="H2" s="6">
        <f>IFERROR(__xludf.DUMMYFUNCTION("CONFIDENCE.T(0.05, STDEV.S(FILTER({Trial1!H2,Trial2!H2,Trial3!H2}, {Trial1!H2,Trial2!H2,Trial3!H2}&lt;&gt;0)), COUNTIF({Trial1!H2,Trial2!H2,Trial3!H2}, ""&lt;&gt;0""))"),0.39621996502417683)</f>
        <v>0.396219965</v>
      </c>
      <c r="I2" s="6">
        <f>IFERROR(__xludf.DUMMYFUNCTION("CONFIDENCE.T(0.05, STDEV.S(FILTER({Trial1!I2,Trial2!I2,Trial3!I2}, {Trial1!I2,Trial2!I2,Trial3!I2}&lt;&gt;0)), COUNTIF({Trial1!I2,Trial2!I2,Trial3!I2}, ""&lt;&gt;0""))"),0.8298013612330795)</f>
        <v>0.8298013612</v>
      </c>
      <c r="J2" s="6">
        <f>IFERROR(__xludf.DUMMYFUNCTION("CONFIDENCE.T(0.05, STDEV.S(FILTER({Trial1!J2,Trial2!J2,Trial3!J2}, {Trial1!J2,Trial2!J2,Trial3!J2}&lt;&gt;0)), COUNTIF({Trial1!J2,Trial2!J2,Trial3!J2}, ""&lt;&gt;0""))"),0.25631598865440663)</f>
        <v>0.2563159887</v>
      </c>
      <c r="K2" s="19">
        <f>IFERROR(__xludf.DUMMYFUNCTION("CONFIDENCE.T(0.05, STDEV.S(FILTER({Trial1!K2,Trial2!K2,Trial3!K2}, {Trial1!K2,Trial2!K2,Trial3!K2}&lt;&gt;0)), COUNTIF({Trial1!K2,Trial2!K2,Trial3!K2}, ""&lt;&gt;0""))"),0.5204268506116936)</f>
        <v>0.5204268506</v>
      </c>
    </row>
    <row r="3">
      <c r="A3" s="8" t="s">
        <v>12</v>
      </c>
      <c r="B3" s="10">
        <f>IFERROR(__xludf.DUMMYFUNCTION("CONFIDENCE.T(0.05, STDEV.S(FILTER({Trial1!B3,Trial2!B3,Trial3!B3}, {Trial1!B3,Trial2!B3,Trial3!B3}&lt;&gt;0)), COUNTIF({Trial1!B3,Trial2!B3,Trial3!B3}, ""&lt;&gt;0""))"),0.4819227160795636)</f>
        <v>0.4819227161</v>
      </c>
      <c r="C3" s="10">
        <f>IFERROR(__xludf.DUMMYFUNCTION("CONFIDENCE.T(0.05, STDEV.S(FILTER({Trial1!C3,Trial2!C3,Trial3!C3}, {Trial1!C3,Trial2!C3,Trial3!C3}&lt;&gt;0)), COUNTIF({Trial1!C3,Trial2!C3,Trial3!C3}, ""&lt;&gt;0""))"),0.4671962379839165)</f>
        <v>0.467196238</v>
      </c>
      <c r="D3" s="10">
        <f>IFERROR(__xludf.DUMMYFUNCTION("CONFIDENCE.T(0.05, STDEV.S(FILTER({Trial1!D3,Trial2!D3,Trial3!D3}, {Trial1!D3,Trial2!D3,Trial3!D3}&lt;&gt;0)), COUNTIF({Trial1!D3,Trial2!D3,Trial3!D3}, ""&lt;&gt;0""))"),0.224458487332541)</f>
        <v>0.2244584873</v>
      </c>
      <c r="E3" s="10">
        <f>IFERROR(__xludf.DUMMYFUNCTION("CONFIDENCE.T(0.05, STDEV.S(FILTER({Trial1!E3,Trial2!E3,Trial3!E3}, {Trial1!E3,Trial2!E3,Trial3!E3}&lt;&gt;0)), COUNTIF({Trial1!E3,Trial2!E3,Trial3!E3}, ""&lt;&gt;0""))"),0.28052430561341013)</f>
        <v>0.2805243056</v>
      </c>
      <c r="F3" s="10">
        <f>IFERROR(__xludf.DUMMYFUNCTION("CONFIDENCE.T(0.05, STDEV.S(FILTER({Trial1!F3,Trial2!F3,Trial3!F3}, {Trial1!F3,Trial2!F3,Trial3!F3}&lt;&gt;0)), COUNTIF({Trial1!F3,Trial2!F3,Trial3!F3}, ""&lt;&gt;0""))"),0.009361244893592099)</f>
        <v>0.009361244894</v>
      </c>
      <c r="G3" s="10">
        <f>IFERROR(__xludf.DUMMYFUNCTION("CONFIDENCE.T(0.05, STDEV.S(FILTER({Trial1!G3,Trial2!G3,Trial3!G3}, {Trial1!G3,Trial2!G3,Trial3!G3}&lt;&gt;0)), COUNTIF({Trial1!G3,Trial2!G3,Trial3!G3}, ""&lt;&gt;0""))"),0.008694481991125744)</f>
        <v>0.008694481991</v>
      </c>
      <c r="H3" s="10">
        <f>IFERROR(__xludf.DUMMYFUNCTION("CONFIDENCE.T(0.05, STDEV.S(FILTER({Trial1!H3,Trial2!H3,Trial3!H3}, {Trial1!H3,Trial2!H3,Trial3!H3}&lt;&gt;0)), COUNTIF({Trial1!H3,Trial2!H3,Trial3!H3}, ""&lt;&gt;0""))"),0.18506825952539951)</f>
        <v>0.1850682595</v>
      </c>
      <c r="I3" s="10">
        <f>IFERROR(__xludf.DUMMYFUNCTION("CONFIDENCE.T(0.05, STDEV.S(FILTER({Trial1!I3,Trial2!I3,Trial3!I3}, {Trial1!I3,Trial2!I3,Trial3!I3}&lt;&gt;0)), COUNTIF({Trial1!I3,Trial2!I3,Trial3!I3}, ""&lt;&gt;0""))"),0.385215234961123)</f>
        <v>0.385215235</v>
      </c>
      <c r="J3" s="10">
        <f>IFERROR(__xludf.DUMMYFUNCTION("CONFIDENCE.T(0.05, STDEV.S(FILTER({Trial1!J3,Trial2!J3,Trial3!J3}, {Trial1!J3,Trial2!J3,Trial3!J3}&lt;&gt;0)), COUNTIF({Trial1!J3,Trial2!J3,Trial3!J3}, ""&lt;&gt;0""))"),0.1187805801081397)</f>
        <v>0.1187805801</v>
      </c>
      <c r="K3" s="21">
        <f>IFERROR(__xludf.DUMMYFUNCTION("CONFIDENCE.T(0.05, STDEV.S(FILTER({Trial1!K3,Trial2!K3,Trial3!K3}, {Trial1!K3,Trial2!K3,Trial3!K3}&lt;&gt;0)), COUNTIF({Trial1!K3,Trial2!K3,Trial3!K3}, ""&lt;&gt;0""))"),0.24220342689565685)</f>
        <v>0.2422034269</v>
      </c>
    </row>
    <row r="4">
      <c r="A4" s="4" t="s">
        <v>13</v>
      </c>
      <c r="B4" s="6">
        <f>IFERROR(__xludf.DUMMYFUNCTION("CONFIDENCE.T(0.05, STDEV.S(FILTER({Trial1!B4,Trial2!B4,Trial3!B4}, {Trial1!B4,Trial2!B4,Trial3!B4}&lt;&gt;0)), COUNTIF({Trial1!B4,Trial2!B4,Trial3!B4}, ""&lt;&gt;0""))"),1.28678333468667)</f>
        <v>1.286783335</v>
      </c>
      <c r="C4" s="6">
        <f>IFERROR(__xludf.DUMMYFUNCTION("CONFIDENCE.T(0.05, STDEV.S(FILTER({Trial1!C4,Trial2!C4,Trial3!C4}, {Trial1!C4,Trial2!C4,Trial3!C4}&lt;&gt;0)), COUNTIF({Trial1!C4,Trial2!C4,Trial3!C4}, ""&lt;&gt;0""))"),0.9877293076471834)</f>
        <v>0.9877293076</v>
      </c>
      <c r="D4" s="6">
        <f>IFERROR(__xludf.DUMMYFUNCTION("CONFIDENCE.T(0.05, STDEV.S(FILTER({Trial1!D4,Trial2!D4,Trial3!D4}, {Trial1!D4,Trial2!D4,Trial3!D4}&lt;&gt;0)), COUNTIF({Trial1!D4,Trial2!D4,Trial3!D4}, ""&lt;&gt;0""))"),0.6317740634407737)</f>
        <v>0.6317740634</v>
      </c>
      <c r="E4" s="6">
        <f>IFERROR(__xludf.DUMMYFUNCTION("CONFIDENCE.T(0.05, STDEV.S(FILTER({Trial1!E4,Trial2!E4,Trial3!E4}, {Trial1!E4,Trial2!E4,Trial3!E4}&lt;&gt;0)), COUNTIF({Trial1!E4,Trial2!E4,Trial3!E4}, ""&lt;&gt;0""))"),0.696145337184937)</f>
        <v>0.6961453372</v>
      </c>
      <c r="F4" s="6">
        <f>IFERROR(__xludf.DUMMYFUNCTION("CONFIDENCE.T(0.05, STDEV.S(FILTER({Trial1!F4,Trial2!F4,Trial3!F4}, {Trial1!F4,Trial2!F4,Trial3!F4}&lt;&gt;0)), COUNTIF({Trial1!F4,Trial2!F4,Trial3!F4}, ""&lt;&gt;0""))"),0.009289561618623467)</f>
        <v>0.009289561619</v>
      </c>
      <c r="G4" s="6">
        <f>IFERROR(__xludf.DUMMYFUNCTION("CONFIDENCE.T(0.05, STDEV.S(FILTER({Trial1!G4,Trial2!G4,Trial3!G4}, {Trial1!G4,Trial2!G4,Trial3!G4}&lt;&gt;0)), COUNTIF({Trial1!G4,Trial2!G4,Trial3!G4}, ""&lt;&gt;0""))"),0.00869448199112657)</f>
        <v>0.008694481991</v>
      </c>
      <c r="H4" s="6">
        <f>IFERROR(__xludf.DUMMYFUNCTION("CONFIDENCE.T(0.05, STDEV.S(FILTER({Trial1!H4,Trial2!H4,Trial3!H4}, {Trial1!H4,Trial2!H4,Trial3!H4}&lt;&gt;0)), COUNTIF({Trial1!H4,Trial2!H4,Trial3!H4}, ""&lt;&gt;0""))"),0.8756585433919909)</f>
        <v>0.8756585434</v>
      </c>
      <c r="I4" s="6">
        <f>IFERROR(__xludf.DUMMYFUNCTION("CONFIDENCE.T(0.05, STDEV.S(FILTER({Trial1!I4,Trial2!I4,Trial3!I4}, {Trial1!I4,Trial2!I4,Trial3!I4}&lt;&gt;0)), COUNTIF({Trial1!I4,Trial2!I4,Trial3!I4}, ""&lt;&gt;0""))"),0.9079523336447458)</f>
        <v>0.9079523336</v>
      </c>
      <c r="J4" s="6">
        <f>IFERROR(__xludf.DUMMYFUNCTION("CONFIDENCE.T(0.05, STDEV.S(FILTER({Trial1!J4,Trial2!J4,Trial3!J4}, {Trial1!J4,Trial2!J4,Trial3!J4}&lt;&gt;0)), COUNTIF({Trial1!J4,Trial2!J4,Trial3!J4}, ""&lt;&gt;0""))"),0.1786680539555782)</f>
        <v>0.178668054</v>
      </c>
      <c r="K4" s="19">
        <f>IFERROR(__xludf.DUMMYFUNCTION("CONFIDENCE.T(0.05, STDEV.S(FILTER({Trial1!K4,Trial2!K4,Trial3!K4}, {Trial1!K4,Trial2!K4,Trial3!K4}&lt;&gt;0)), COUNTIF({Trial1!K4,Trial2!K4,Trial3!K4}, ""&lt;&gt;0""))"),0.6148240836582065)</f>
        <v>0.6148240837</v>
      </c>
    </row>
    <row r="5">
      <c r="A5" s="8" t="s">
        <v>14</v>
      </c>
      <c r="B5" s="10">
        <f>IFERROR(__xludf.DUMMYFUNCTION("CONFIDENCE.T(0.05, STDEV.S(FILTER({Trial1!B5,Trial2!B5,Trial3!B5}, {Trial1!B5,Trial2!B5,Trial3!B5}&lt;&gt;0)), COUNTIF({Trial1!B5,Trial2!B5,Trial3!B5}, ""&lt;&gt;0""))"),0.20990963664290255)</f>
        <v>0.2099096366</v>
      </c>
      <c r="C5" s="10">
        <f>IFERROR(__xludf.DUMMYFUNCTION("CONFIDENCE.T(0.05, STDEV.S(FILTER({Trial1!C5,Trial2!C5,Trial3!C5}, {Trial1!C5,Trial2!C5,Trial3!C5}&lt;&gt;0)), COUNTIF({Trial1!C5,Trial2!C5,Trial3!C5}, ""&lt;&gt;0""))"),0.29649131473805423)</f>
        <v>0.2964913147</v>
      </c>
      <c r="D5" s="10">
        <f>IFERROR(__xludf.DUMMYFUNCTION("CONFIDENCE.T(0.05, STDEV.S(FILTER({Trial1!D5,Trial2!D5,Trial3!D5}, {Trial1!D5,Trial2!D5,Trial3!D5}&lt;&gt;0)), COUNTIF({Trial1!D5,Trial2!D5,Trial3!D5}, ""&lt;&gt;0""))"),0.1864648328858121)</f>
        <v>0.1864648329</v>
      </c>
      <c r="E5" s="10">
        <f>IFERROR(__xludf.DUMMYFUNCTION("CONFIDENCE.T(0.05, STDEV.S(FILTER({Trial1!E5,Trial2!E5,Trial3!E5}, {Trial1!E5,Trial2!E5,Trial3!E5}&lt;&gt;0)), COUNTIF({Trial1!E5,Trial2!E5,Trial3!E5}, ""&lt;&gt;0""))"),0.20658708145046778)</f>
        <v>0.2065870815</v>
      </c>
      <c r="F5" s="10">
        <f>IFERROR(__xludf.DUMMYFUNCTION("CONFIDENCE.T(0.05, STDEV.S(FILTER({Trial1!F5,Trial2!F5,Trial3!F5}, {Trial1!F5,Trial2!F5,Trial3!F5}&lt;&gt;0)), COUNTIF({Trial1!F5,Trial2!F5,Trial3!F5}, ""&lt;&gt;0""))"),0.012132971559793693)</f>
        <v>0.01213297156</v>
      </c>
      <c r="G5" s="10">
        <f>IFERROR(__xludf.DUMMYFUNCTION("CONFIDENCE.T(0.05, STDEV.S(FILTER({Trial1!G5,Trial2!G5,Trial3!G5}, {Trial1!G5,Trial2!G5,Trial3!G5}&lt;&gt;0)), COUNTIF({Trial1!G5,Trial2!G5,Trial3!G5}, ""&lt;&gt;0""))"),0.011178619702876074)</f>
        <v>0.0111786197</v>
      </c>
      <c r="H5" s="10">
        <f>IFERROR(__xludf.DUMMYFUNCTION("CONFIDENCE.T(0.05, STDEV.S(FILTER({Trial1!H5,Trial2!H5,Trial3!H5}, {Trial1!H5,Trial2!H5,Trial3!H5}&lt;&gt;0)), COUNTIF({Trial1!H5,Trial2!H5,Trial3!H5}, ""&lt;&gt;0""))"),0.5241530571793198)</f>
        <v>0.5241530572</v>
      </c>
      <c r="I5" s="10">
        <f>IFERROR(__xludf.DUMMYFUNCTION("CONFIDENCE.T(0.05, STDEV.S(FILTER({Trial1!I5,Trial2!I5,Trial3!I5}, {Trial1!I5,Trial2!I5,Trial3!I5}&lt;&gt;0)), COUNTIF({Trial1!I5,Trial2!I5,Trial3!I5}, ""&lt;&gt;0""))"),0.1366275741462682)</f>
        <v>0.1366275741</v>
      </c>
      <c r="J5" s="10">
        <f>IFERROR(__xludf.DUMMYFUNCTION("CONFIDENCE.T(0.05, STDEV.S(FILTER({Trial1!J5,Trial2!J5,Trial3!J5}, {Trial1!J5,Trial2!J5,Trial3!J5}&lt;&gt;0)), COUNTIF({Trial1!J5,Trial2!J5,Trial3!J5}, ""&lt;&gt;0""))"),0.07950534394051578)</f>
        <v>0.07950534394</v>
      </c>
      <c r="K5" s="21">
        <f>IFERROR(__xludf.DUMMYFUNCTION("CONFIDENCE.T(0.05, STDEV.S(FILTER({Trial1!K5,Trial2!K5,Trial3!K5}, {Trial1!K5,Trial2!K5,Trial3!K5}&lt;&gt;0)), COUNTIF({Trial1!K5,Trial2!K5,Trial3!K5}, ""&lt;&gt;0""))"),0.13290136757864268)</f>
        <v>0.1329013676</v>
      </c>
    </row>
    <row r="6">
      <c r="A6" s="4" t="s">
        <v>15</v>
      </c>
      <c r="B6" s="6">
        <f>IFERROR(__xludf.DUMMYFUNCTION("CONFIDENCE.T(0.05, STDEV.S(FILTER({Trial1!B6,Trial2!B6,Trial3!B6}, {Trial1!B6,Trial2!B6,Trial3!B6}&lt;&gt;0)), COUNTIF({Trial1!B6,Trial2!B6,Trial3!B6}, ""&lt;&gt;0""))"),0.08321861334363598)</f>
        <v>0.08321861334</v>
      </c>
      <c r="C6" s="6">
        <f>IFERROR(__xludf.DUMMYFUNCTION("CONFIDENCE.T(0.05, STDEV.S(FILTER({Trial1!C6,Trial2!C6,Trial3!C6}, {Trial1!C6,Trial2!C6,Trial3!C6}&lt;&gt;0)), COUNTIF({Trial1!C6,Trial2!C6,Trial3!C6}, ""&lt;&gt;0""))"),0.06648646585922684)</f>
        <v>0.06648646586</v>
      </c>
      <c r="D6" s="6">
        <f>IFERROR(__xludf.DUMMYFUNCTION("CONFIDENCE.T(0.05, STDEV.S(FILTER({Trial1!D6,Trial2!D6,Trial3!D6}, {Trial1!D6,Trial2!D6,Trial3!D6}&lt;&gt;0)), COUNTIF({Trial1!D6,Trial2!D6,Trial3!D6}, ""&lt;&gt;0""))"),0.03872387456774516)</f>
        <v>0.03872387457</v>
      </c>
      <c r="E6" s="6">
        <f>IFERROR(__xludf.DUMMYFUNCTION("CONFIDENCE.T(0.05, STDEV.S(FILTER({Trial1!E6,Trial2!E6,Trial3!E6}, {Trial1!E6,Trial2!E6,Trial3!E6}&lt;&gt;0)), COUNTIF({Trial1!E6,Trial2!E6,Trial3!E6}, ""&lt;&gt;0""))"),0.04415899788284477)</f>
        <v>0.04415899788</v>
      </c>
      <c r="F6" s="6">
        <f>IFERROR(__xludf.DUMMYFUNCTION("CONFIDENCE.T(0.05, STDEV.S(FILTER({Trial1!F6,Trial2!F6,Trial3!F6}, {Trial1!F6,Trial2!F6,Trial3!F6}&lt;&gt;0)), COUNTIF({Trial1!F6,Trial2!F6,Trial3!F6}, ""&lt;&gt;0""))"),0.0013262090041763815)</f>
        <v>0.001326209004</v>
      </c>
      <c r="G6" s="6">
        <f>IFERROR(__xludf.DUMMYFUNCTION("CONFIDENCE.T(0.05, STDEV.S(FILTER({Trial1!G6,Trial2!G6,Trial3!G6}, {Trial1!G6,Trial2!G6,Trial3!G6}&lt;&gt;0)), COUNTIF({Trial1!G6,Trial2!G6,Trial3!G6}, ""&lt;&gt;0""))"),0.0012420688558751655)</f>
        <v>0.001242068856</v>
      </c>
      <c r="H6" s="6">
        <f>IFERROR(__xludf.DUMMYFUNCTION("CONFIDENCE.T(0.05, STDEV.S(FILTER({Trial1!H6,Trial2!H6,Trial3!H6}, {Trial1!H6,Trial2!H6,Trial3!H6}&lt;&gt;0)), COUNTIF({Trial1!H6,Trial2!H6,Trial3!H6}, ""&lt;&gt;0""))"),0.04595654766738102)</f>
        <v>0.04595654767</v>
      </c>
      <c r="I6" s="6">
        <f>IFERROR(__xludf.DUMMYFUNCTION("CONFIDENCE.T(0.05, STDEV.S(FILTER({Trial1!I6,Trial2!I6,Trial3!I6}, {Trial1!I6,Trial2!I6,Trial3!I6}&lt;&gt;0)), COUNTIF({Trial1!I6,Trial2!I6,Trial3!I6}, ""&lt;&gt;0""))"),0.05837723622613276)</f>
        <v>0.05837723623</v>
      </c>
      <c r="J6" s="6">
        <f>IFERROR(__xludf.DUMMYFUNCTION("CONFIDENCE.T(0.05, STDEV.S(FILTER({Trial1!J6,Trial2!J6,Trial3!J6}, {Trial1!J6,Trial2!J6,Trial3!J6}&lt;&gt;0)), COUNTIF({Trial1!J6,Trial2!J6,Trial3!J6}, ""&lt;&gt;0""))"),0.012420688558751643)</f>
        <v>0.01242068856</v>
      </c>
      <c r="K6" s="19">
        <f>IFERROR(__xludf.DUMMYFUNCTION("CONFIDENCE.T(0.05, STDEV.S(FILTER({Trial1!K6,Trial2!K6,Trial3!K6}, {Trial1!K6,Trial2!K6,Trial3!K6}&lt;&gt;0)), COUNTIF({Trial1!K6,Trial2!K6,Trial3!K6}, ""&lt;&gt;0""))"),0.038504134532130106)</f>
        <v>0.03850413453</v>
      </c>
    </row>
    <row r="7">
      <c r="A7" s="8" t="s">
        <v>16</v>
      </c>
      <c r="B7" s="10">
        <f>IFERROR(__xludf.DUMMYFUNCTION("CONFIDENCE.T(0.05, STDEV.S(FILTER({Trial1!B7,Trial2!B7,Trial3!B7}, {Trial1!B7,Trial2!B7,Trial3!B7}&lt;&gt;0)), COUNTIF({Trial1!B7,Trial2!B7,Trial3!B7}, ""&lt;&gt;0""))"),3.4156893536567038E-6)</f>
        <v>0.000003415689354</v>
      </c>
      <c r="C7" s="10">
        <f>IFERROR(__xludf.DUMMYFUNCTION("CONFIDENCE.T(0.05, STDEV.S(FILTER({Trial1!C7,Trial2!C7,Trial3!C7}, {Trial1!C7,Trial2!C7,Trial3!C7}&lt;&gt;0)), COUNTIF({Trial1!C7,Trial2!C7,Trial3!C7}, ""&lt;&gt;0""))"),4.038869760944133E-6)</f>
        <v>0.000004038869761</v>
      </c>
      <c r="D7" s="10">
        <f>IFERROR(__xludf.DUMMYFUNCTION("CONFIDENCE.T(0.05, STDEV.S(FILTER({Trial1!D7,Trial2!D7,Trial3!D7}, {Trial1!D7,Trial2!D7,Trial3!D7}&lt;&gt;0)), COUNTIF({Trial1!D7,Trial2!D7,Trial3!D7}, ""&lt;&gt;0""))"),4.058835741730325E-6)</f>
        <v>0.000004058835742</v>
      </c>
      <c r="E7" s="10">
        <f>IFERROR(__xludf.DUMMYFUNCTION("CONFIDENCE.T(0.05, STDEV.S(FILTER({Trial1!E7,Trial2!E7,Trial3!E7}, {Trial1!E7,Trial2!E7,Trial3!E7}&lt;&gt;0)), COUNTIF({Trial1!E7,Trial2!E7,Trial3!E7}, ""&lt;&gt;0""))"),3.951288945456193E-6)</f>
        <v>0.000003951288945</v>
      </c>
      <c r="F7" s="10" t="str">
        <f>IFERROR(__xludf.DUMMYFUNCTION("CONFIDENCE.T(0.05, STDEV.S(FILTER({Trial1!F7,Trial2!F7,Trial3!F7}, {Trial1!F7,Trial2!F7,Trial3!F7}&lt;&gt;0)), COUNTIF({Trial1!F7,Trial2!F7,Trial3!F7}, ""&lt;&gt;0""))"),"#NUM!")</f>
        <v>#NUM!</v>
      </c>
      <c r="G7" s="10" t="str">
        <f>IFERROR(__xludf.DUMMYFUNCTION("CONFIDENCE.T(0.05, STDEV.S(FILTER({Trial1!G7,Trial2!G7,Trial3!G7}, {Trial1!G7,Trial2!G7,Trial3!G7}&lt;&gt;0)), COUNTIF({Trial1!G7,Trial2!G7,Trial3!G7}, ""&lt;&gt;0""))"),"#NUM!")</f>
        <v>#NUM!</v>
      </c>
      <c r="H7" s="10">
        <f>IFERROR(__xludf.DUMMYFUNCTION("CONFIDENCE.T(0.05, STDEV.S(FILTER({Trial1!H7,Trial2!H7,Trial3!H7}, {Trial1!H7,Trial2!H7,Trial3!H7}&lt;&gt;0)), COUNTIF({Trial1!H7,Trial2!H7,Trial3!H7}, ""&lt;&gt;0""))"),3.564737616361722E-6)</f>
        <v>0.000003564737616</v>
      </c>
      <c r="I7" s="10">
        <f>IFERROR(__xludf.DUMMYFUNCTION("CONFIDENCE.T(0.05, STDEV.S(FILTER({Trial1!I7,Trial2!I7,Trial3!I7}, {Trial1!I7,Trial2!I7,Trial3!I7}&lt;&gt;0)), COUNTIF({Trial1!I7,Trial2!I7,Trial3!I7}, ""&lt;&gt;0""))"),3.4156893536567038E-6)</f>
        <v>0.000003415689354</v>
      </c>
      <c r="J7" s="10">
        <f>IFERROR(__xludf.DUMMYFUNCTION("CONFIDENCE.T(0.05, STDEV.S(FILTER({Trial1!J7,Trial2!J7,Trial3!J7}, {Trial1!J7,Trial2!J7,Trial3!J7}&lt;&gt;0)), COUNTIF({Trial1!J7,Trial2!J7,Trial3!J7}, ""&lt;&gt;0""))"),4.0738596188052665E-6)</f>
        <v>0.000004073859619</v>
      </c>
      <c r="K7" s="21">
        <f>IFERROR(__xludf.DUMMYFUNCTION("CONFIDENCE.T(0.05, STDEV.S(FILTER({Trial1!K7,Trial2!K7,Trial3!K7}, {Trial1!K7,Trial2!K7,Trial3!K7}&lt;&gt;0)), COUNTIF({Trial1!K7,Trial2!K7,Trial3!K7}, ""&lt;&gt;0""))"),3.5398962392442138E-6)</f>
        <v>0.000003539896239</v>
      </c>
    </row>
    <row r="8">
      <c r="A8" s="4" t="s">
        <v>17</v>
      </c>
      <c r="B8" s="6">
        <f>IFERROR(__xludf.DUMMYFUNCTION("CONFIDENCE.T(0.05, STDEV.S(FILTER({Trial1!B8,Trial2!B8,Trial3!B8}, {Trial1!B8,Trial2!B8,Trial3!B8}&lt;&gt;0)), COUNTIF({Trial1!B8,Trial2!B8,Trial3!B8}, ""&lt;&gt;0""))"),187.35863449563334)</f>
        <v>187.3586345</v>
      </c>
      <c r="C8" s="6">
        <f>IFERROR(__xludf.DUMMYFUNCTION("CONFIDENCE.T(0.05, STDEV.S(FILTER({Trial1!C8,Trial2!C8,Trial3!C8}, {Trial1!C8,Trial2!C8,Trial3!C8}&lt;&gt;0)), COUNTIF({Trial1!C8,Trial2!C8,Trial3!C8}, ""&lt;&gt;0""))"),303.3039919896543)</f>
        <v>303.303992</v>
      </c>
      <c r="D8" s="6">
        <f>IFERROR(__xludf.DUMMYFUNCTION("CONFIDENCE.T(0.05, STDEV.S(FILTER({Trial1!D8,Trial2!D8,Trial3!D8}, {Trial1!D8,Trial2!D8,Trial3!D8}&lt;&gt;0)), COUNTIF({Trial1!D8,Trial2!D8,Trial3!D8}, ""&lt;&gt;0""))"),190.88227790059108)</f>
        <v>190.8822779</v>
      </c>
      <c r="E8" s="6">
        <f>IFERROR(__xludf.DUMMYFUNCTION("CONFIDENCE.T(0.05, STDEV.S(FILTER({Trial1!E8,Trial2!E8,Trial3!E8}, {Trial1!E8,Trial2!E8,Trial3!E8}&lt;&gt;0)), COUNTIF({Trial1!E8,Trial2!E8,Trial3!E8}, ""&lt;&gt;0""))"),186.669029915916)</f>
        <v>186.6690299</v>
      </c>
      <c r="F8" s="6">
        <f>IFERROR(__xludf.DUMMYFUNCTION("CONFIDENCE.T(0.05, STDEV.S(FILTER({Trial1!F8,Trial2!F8,Trial3!F8}, {Trial1!F8,Trial2!F8,Trial3!F8}&lt;&gt;0)), COUNTIF({Trial1!F8,Trial2!F8,Trial3!F8}, ""&lt;&gt;0""))"),9.069972093647202)</f>
        <v>9.069972094</v>
      </c>
      <c r="G8" s="6">
        <f>IFERROR(__xludf.DUMMYFUNCTION("CONFIDENCE.T(0.05, STDEV.S(FILTER({Trial1!G8,Trial2!G8,Trial3!G8}, {Trial1!G8,Trial2!G8,Trial3!G8}&lt;&gt;0)), COUNTIF({Trial1!G8,Trial2!G8,Trial3!G8}, ""&lt;&gt;0""))"),8.490782698762073)</f>
        <v>8.490782699</v>
      </c>
      <c r="H8" s="6">
        <f>IFERROR(__xludf.DUMMYFUNCTION("CONFIDENCE.T(0.05, STDEV.S(FILTER({Trial1!H8,Trial2!H8,Trial3!H8}, {Trial1!H8,Trial2!H8,Trial3!H8}&lt;&gt;0)), COUNTIF({Trial1!H8,Trial2!H8,Trial3!H8}, ""&lt;&gt;0""))"),522.8476428117943)</f>
        <v>522.8476428</v>
      </c>
      <c r="I8" s="6">
        <f>IFERROR(__xludf.DUMMYFUNCTION("CONFIDENCE.T(0.05, STDEV.S(FILTER({Trial1!I8,Trial2!I8,Trial3!I8}, {Trial1!I8,Trial2!I8,Trial3!I8}&lt;&gt;0)), COUNTIF({Trial1!I8,Trial2!I8,Trial3!I8}, ""&lt;&gt;0""))"),122.41582229734443)</f>
        <v>122.4158223</v>
      </c>
      <c r="J8" s="6">
        <f>IFERROR(__xludf.DUMMYFUNCTION("CONFIDENCE.T(0.05, STDEV.S(FILTER({Trial1!J8,Trial2!J8,Trial3!J8}, {Trial1!J8,Trial2!J8,Trial3!J8}&lt;&gt;0)), COUNTIF({Trial1!J8,Trial2!J8,Trial3!J8}, ""&lt;&gt;0""))"),74.35142668313534)</f>
        <v>74.35142668</v>
      </c>
      <c r="K8" s="19">
        <f>IFERROR(__xludf.DUMMYFUNCTION("CONFIDENCE.T(0.05, STDEV.S(FILTER({Trial1!K8,Trial2!K8,Trial3!K8}, {Trial1!K8,Trial2!K8,Trial3!K8}&lt;&gt;0)), COUNTIF({Trial1!K8,Trial2!K8,Trial3!K8}, ""&lt;&gt;0""))"),143.5446556046368)</f>
        <v>143.5446556</v>
      </c>
    </row>
    <row r="9">
      <c r="A9" s="8" t="s">
        <v>18</v>
      </c>
      <c r="B9" s="10">
        <f>IFERROR(__xludf.DUMMYFUNCTION("CONFIDENCE.T(0.05, STDEV.S(FILTER({Trial1!B9,Trial2!B9,Trial3!B9}, {Trial1!B9,Trial2!B9,Trial3!B9}&lt;&gt;0)), COUNTIF({Trial1!B9,Trial2!B9,Trial3!B9}, ""&lt;&gt;0""))"),1.2420688558750274E-4)</f>
        <v>0.0001242068856</v>
      </c>
      <c r="C9" s="10">
        <f>IFERROR(__xludf.DUMMYFUNCTION("CONFIDENCE.T(0.05, STDEV.S(FILTER({Trial1!C9,Trial2!C9,Trial3!C9}, {Trial1!C9,Trial2!C9,Trial3!C9}&lt;&gt;0)), COUNTIF({Trial1!C9,Trial2!C9,Trial3!C9}, ""&lt;&gt;0""))"),0.0011945405248575105)</f>
        <v>0.001194540525</v>
      </c>
      <c r="D9" s="10">
        <f>IFERROR(__xludf.DUMMYFUNCTION("CONFIDENCE.T(0.05, STDEV.S(FILTER({Trial1!D9,Trial2!D9,Trial3!D9}, {Trial1!D9,Trial2!D9,Trial3!D9}&lt;&gt;0)), COUNTIF({Trial1!D9,Trial2!D9,Trial3!D9}, ""&lt;&gt;0""))"),5.478260584468225E-4)</f>
        <v>0.0005478260584</v>
      </c>
      <c r="E9" s="10">
        <f>IFERROR(__xludf.DUMMYFUNCTION("CONFIDENCE.T(0.05, STDEV.S(FILTER({Trial1!E9,Trial2!E9,Trial3!E9}, {Trial1!E9,Trial2!E9,Trial3!E9}&lt;&gt;0)), COUNTIF({Trial1!E9,Trial2!E9,Trial3!E9}, ""&lt;&gt;0""))"),5.450026791014068E-4)</f>
        <v>0.0005450026791</v>
      </c>
      <c r="F9" s="10">
        <f>IFERROR(__xludf.DUMMYFUNCTION("CONFIDENCE.T(0.05, STDEV.S(FILTER({Trial1!F9,Trial2!F9,Trial3!F9}, {Trial1!F9,Trial2!F9,Trial3!F9}&lt;&gt;0)), COUNTIF({Trial1!F9,Trial2!F9,Trial3!F9}, ""&lt;&gt;0""))"),0.2201419796101864)</f>
        <v>0.2201419796</v>
      </c>
      <c r="G9" s="10">
        <f>IFERROR(__xludf.DUMMYFUNCTION("CONFIDENCE.T(0.05, STDEV.S(FILTER({Trial1!G9,Trial2!G9,Trial3!G9}, {Trial1!G9,Trial2!G9,Trial3!G9}&lt;&gt;0)), COUNTIF({Trial1!G9,Trial2!G9,Trial3!G9}, ""&lt;&gt;0""))"),0.16683468872115206)</f>
        <v>0.1668346887</v>
      </c>
      <c r="H9" s="10">
        <f>IFERROR(__xludf.DUMMYFUNCTION("CONFIDENCE.T(0.05, STDEV.S(FILTER({Trial1!H9,Trial2!H9,Trial3!H9}, {Trial1!H9,Trial2!H9,Trial3!H9}&lt;&gt;0)), COUNTIF({Trial1!H9,Trial2!H9,Trial3!H9}, ""&lt;&gt;0""))"),2.484137711750055E-4)</f>
        <v>0.0002484137712</v>
      </c>
      <c r="I9" s="10">
        <f>IFERROR(__xludf.DUMMYFUNCTION("CONFIDENCE.T(0.05, STDEV.S(FILTER({Trial1!I9,Trial2!I9,Trial3!I9}, {Trial1!I9,Trial2!I9,Trial3!I9}&lt;&gt;0)), COUNTIF({Trial1!I9,Trial2!I9,Trial3!I9}, ""&lt;&gt;0""))"),7.452413135265333E-5)</f>
        <v>0.00007452413135</v>
      </c>
      <c r="J9" s="10">
        <f>IFERROR(__xludf.DUMMYFUNCTION("CONFIDENCE.T(0.05, STDEV.S(FILTER({Trial1!J9,Trial2!J9,Trial3!J9}, {Trial1!J9,Trial2!J9,Trial3!J9}&lt;&gt;0)), COUNTIF({Trial1!J9,Trial2!J9,Trial3!J9}, ""&lt;&gt;0""))"),2.9111437330989307E-4)</f>
        <v>0.0002911143733</v>
      </c>
      <c r="K9" s="21">
        <f>IFERROR(__xludf.DUMMYFUNCTION("CONFIDENCE.T(0.05, STDEV.S(FILTER({Trial1!K9,Trial2!K9,Trial3!K9}, {Trial1!K9,Trial2!K9,Trial3!K9}&lt;&gt;0)), COUNTIF({Trial1!K9,Trial2!K9,Trial3!K9}, ""&lt;&gt;0""))"),0.0032790617795104035)</f>
        <v>0.00327906178</v>
      </c>
    </row>
    <row r="10">
      <c r="A10" s="4" t="s">
        <v>19</v>
      </c>
      <c r="B10" s="6">
        <f>IFERROR(__xludf.DUMMYFUNCTION("CONFIDENCE.T(0.05, STDEV.S(FILTER({Trial1!B10,Trial2!B10,Trial3!B10}, {Trial1!B10,Trial2!B10,Trial3!B10}&lt;&gt;0)), COUNTIF({Trial1!B10,Trial2!B10,Trial3!B10}, ""&lt;&gt;0""))"),1.1178619702866974E-4)</f>
        <v>0.000111786197</v>
      </c>
      <c r="C10" s="6">
        <f>IFERROR(__xludf.DUMMYFUNCTION("CONFIDENCE.T(0.05, STDEV.S(FILTER({Trial1!C10,Trial2!C10,Trial3!C10}, {Trial1!C10,Trial2!C10,Trial3!C10}&lt;&gt;0)), COUNTIF({Trial1!C10,Trial2!C10,Trial3!C10}, ""&lt;&gt;0""))"),0.0011088088113182138)</f>
        <v>0.001108808811</v>
      </c>
      <c r="D10" s="6">
        <f>IFERROR(__xludf.DUMMYFUNCTION("CONFIDENCE.T(0.05, STDEV.S(FILTER({Trial1!D10,Trial2!D10,Trial3!D10}, {Trial1!D10,Trial2!D10,Trial3!D10}&lt;&gt;0)), COUNTIF({Trial1!D10,Trial2!D10,Trial3!D10}, ""&lt;&gt;0""))"),5.478260584468225E-4)</f>
        <v>0.0005478260584</v>
      </c>
      <c r="E10" s="6">
        <f>IFERROR(__xludf.DUMMYFUNCTION("CONFIDENCE.T(0.05, STDEV.S(FILTER({Trial1!E10,Trial2!E10,Trial3!E10}, {Trial1!E10,Trial2!E10,Trial3!E10}&lt;&gt;0)), COUNTIF({Trial1!E10,Trial2!E10,Trial3!E10}, ""&lt;&gt;0""))"),5.450026791014068E-4)</f>
        <v>0.0005450026791</v>
      </c>
      <c r="F10" s="6">
        <f>IFERROR(__xludf.DUMMYFUNCTION("CONFIDENCE.T(0.05, STDEV.S(FILTER({Trial1!F10,Trial2!F10,Trial3!F10}, {Trial1!F10,Trial2!F10,Trial3!F10}&lt;&gt;0)), COUNTIF({Trial1!F10,Trial2!F10,Trial3!F10}, ""&lt;&gt;0""))"),0.14377023190097304)</f>
        <v>0.1437702319</v>
      </c>
      <c r="G10" s="6">
        <f>IFERROR(__xludf.DUMMYFUNCTION("CONFIDENCE.T(0.05, STDEV.S(FILTER({Trial1!G10,Trial2!G10,Trial3!G10}, {Trial1!G10,Trial2!G10,Trial3!G10}&lt;&gt;0)), COUNTIF({Trial1!G10,Trial2!G10,Trial3!G10}, ""&lt;&gt;0""))"),0.10902880416872188)</f>
        <v>0.1090288042</v>
      </c>
      <c r="H10" s="6">
        <f>IFERROR(__xludf.DUMMYFUNCTION("CONFIDENCE.T(0.05, STDEV.S(FILTER({Trial1!H10,Trial2!H10,Trial3!H10}, {Trial1!H10,Trial2!H10,Trial3!H10}&lt;&gt;0)), COUNTIF({Trial1!H10,Trial2!H10,Trial3!H10}, ""&lt;&gt;0""))"),2.484137711750055E-4)</f>
        <v>0.0002484137712</v>
      </c>
      <c r="I10" s="6">
        <f>IFERROR(__xludf.DUMMYFUNCTION("CONFIDENCE.T(0.05, STDEV.S(FILTER({Trial1!I10,Trial2!I10,Trial3!I10}, {Trial1!I10,Trial2!I10,Trial3!I10}&lt;&gt;0)), COUNTIF({Trial1!I10,Trial2!I10,Trial3!I10}, ""&lt;&gt;0""))"),7.452413135251543E-5)</f>
        <v>0.00007452413135</v>
      </c>
      <c r="J10" s="6">
        <f>IFERROR(__xludf.DUMMYFUNCTION("CONFIDENCE.T(0.05, STDEV.S(FILTER({Trial1!J10,Trial2!J10,Trial3!J10}, {Trial1!J10,Trial2!J10,Trial3!J10}&lt;&gt;0)), COUNTIF({Trial1!J10,Trial2!J10,Trial3!J10}, ""&lt;&gt;0""))"),2.9111437330989307E-4)</f>
        <v>0.0002911143733</v>
      </c>
      <c r="K10" s="19">
        <f>IFERROR(__xludf.DUMMYFUNCTION("CONFIDENCE.T(0.05, STDEV.S(FILTER({Trial1!K10,Trial2!K10,Trial3!K10}, {Trial1!K10,Trial2!K10,Trial3!K10}&lt;&gt;0)), COUNTIF({Trial1!K10,Trial2!K10,Trial3!K10}, ""&lt;&gt;0""))"),0.003229379025275416)</f>
        <v>0.003229379025</v>
      </c>
    </row>
    <row r="11">
      <c r="A11" s="8" t="s">
        <v>20</v>
      </c>
      <c r="B11" s="10">
        <f>IFERROR(__xludf.DUMMYFUNCTION("CONFIDENCE.T(0.05, STDEV.S(FILTER({Trial1!B11,Trial2!B11,Trial3!B11}, {Trial1!B11,Trial2!B11,Trial3!B11}&lt;&gt;0)), COUNTIF({Trial1!B11,Trial2!B11,Trial3!B11}, ""&lt;&gt;0""))"),1.2420688558750274E-4)</f>
        <v>0.0001242068856</v>
      </c>
      <c r="C11" s="10">
        <f>IFERROR(__xludf.DUMMYFUNCTION("CONFIDENCE.T(0.05, STDEV.S(FILTER({Trial1!C11,Trial2!C11,Trial3!C11}, {Trial1!C11,Trial2!C11,Trial3!C11}&lt;&gt;0)), COUNTIF({Trial1!C11,Trial2!C11,Trial3!C11}, ""&lt;&gt;0""))"),0.0011945405248575105)</f>
        <v>0.001194540525</v>
      </c>
      <c r="D11" s="10">
        <f>IFERROR(__xludf.DUMMYFUNCTION("CONFIDENCE.T(0.05, STDEV.S(FILTER({Trial1!D11,Trial2!D11,Trial3!D11}, {Trial1!D11,Trial2!D11,Trial3!D11}&lt;&gt;0)), COUNTIF({Trial1!D11,Trial2!D11,Trial3!D11}, ""&lt;&gt;0""))"),5.478260584468225E-4)</f>
        <v>0.0005478260584</v>
      </c>
      <c r="E11" s="10">
        <f>IFERROR(__xludf.DUMMYFUNCTION("CONFIDENCE.T(0.05, STDEV.S(FILTER({Trial1!E11,Trial2!E11,Trial3!E11}, {Trial1!E11,Trial2!E11,Trial3!E11}&lt;&gt;0)), COUNTIF({Trial1!E11,Trial2!E11,Trial3!E11}, ""&lt;&gt;0""))"),5.450026791014068E-4)</f>
        <v>0.0005450026791</v>
      </c>
      <c r="F11" s="10">
        <f>IFERROR(__xludf.DUMMYFUNCTION("CONFIDENCE.T(0.05, STDEV.S(FILTER({Trial1!F11,Trial2!F11,Trial3!F11}, {Trial1!F11,Trial2!F11,Trial3!F11}&lt;&gt;0)), COUNTIF({Trial1!F11,Trial2!F11,Trial3!F11}, ""&lt;&gt;0""))"),0.2201419796101864)</f>
        <v>0.2201419796</v>
      </c>
      <c r="G11" s="10">
        <f>IFERROR(__xludf.DUMMYFUNCTION("CONFIDENCE.T(0.05, STDEV.S(FILTER({Trial1!G11,Trial2!G11,Trial3!G11}, {Trial1!G11,Trial2!G11,Trial3!G11}&lt;&gt;0)), COUNTIF({Trial1!G11,Trial2!G11,Trial3!G11}, ""&lt;&gt;0""))"),0.16683468872115206)</f>
        <v>0.1668346887</v>
      </c>
      <c r="H11" s="10">
        <f>IFERROR(__xludf.DUMMYFUNCTION("CONFIDENCE.T(0.05, STDEV.S(FILTER({Trial1!H11,Trial2!H11,Trial3!H11}, {Trial1!H11,Trial2!H11,Trial3!H11}&lt;&gt;0)), COUNTIF({Trial1!H11,Trial2!H11,Trial3!H11}, ""&lt;&gt;0""))"),2.484137711750055E-4)</f>
        <v>0.0002484137712</v>
      </c>
      <c r="I11" s="10">
        <f>IFERROR(__xludf.DUMMYFUNCTION("CONFIDENCE.T(0.05, STDEV.S(FILTER({Trial1!I11,Trial2!I11,Trial3!I11}, {Trial1!I11,Trial2!I11,Trial3!I11}&lt;&gt;0)), COUNTIF({Trial1!I11,Trial2!I11,Trial3!I11}, ""&lt;&gt;0""))"),7.452413135265333E-5)</f>
        <v>0.00007452413135</v>
      </c>
      <c r="J11" s="10">
        <f>IFERROR(__xludf.DUMMYFUNCTION("CONFIDENCE.T(0.05, STDEV.S(FILTER({Trial1!J11,Trial2!J11,Trial3!J11}, {Trial1!J11,Trial2!J11,Trial3!J11}&lt;&gt;0)), COUNTIF({Trial1!J11,Trial2!J11,Trial3!J11}, ""&lt;&gt;0""))"),2.9111437330989307E-4)</f>
        <v>0.0002911143733</v>
      </c>
      <c r="K11" s="21">
        <f>IFERROR(__xludf.DUMMYFUNCTION("CONFIDENCE.T(0.05, STDEV.S(FILTER({Trial1!K11,Trial2!K11,Trial3!K11}, {Trial1!K11,Trial2!K11,Trial3!K11}&lt;&gt;0)), COUNTIF({Trial1!K11,Trial2!K11,Trial3!K11}, ""&lt;&gt;0""))"),0.0032790617795104035)</f>
        <v>0.00327906178</v>
      </c>
    </row>
    <row r="12">
      <c r="A12" s="4" t="s">
        <v>21</v>
      </c>
      <c r="B12" s="6">
        <f>IFERROR(__xludf.DUMMYFUNCTION("CONFIDENCE.T(0.05, STDEV.S(FILTER({Trial1!B12,Trial2!B12,Trial3!B12}, {Trial1!B12,Trial2!B12,Trial3!B12}&lt;&gt;0)), COUNTIF({Trial1!B12,Trial2!B12,Trial3!B12}, ""&lt;&gt;0""))"),1.1178619702873868E-4)</f>
        <v>0.000111786197</v>
      </c>
      <c r="C12" s="6">
        <f>IFERROR(__xludf.DUMMYFUNCTION("CONFIDENCE.T(0.05, STDEV.S(FILTER({Trial1!C12,Trial2!C12,Trial3!C12}, {Trial1!C12,Trial2!C12,Trial3!C12}&lt;&gt;0)), COUNTIF({Trial1!C12,Trial2!C12,Trial3!C12}, ""&lt;&gt;0""))"),0.0011884982983278102)</f>
        <v>0.001188498298</v>
      </c>
      <c r="D12" s="6">
        <f>IFERROR(__xludf.DUMMYFUNCTION("CONFIDENCE.T(0.05, STDEV.S(FILTER({Trial1!D12,Trial2!D12,Trial3!D12}, {Trial1!D12,Trial2!D12,Trial3!D12}&lt;&gt;0)), COUNTIF({Trial1!D12,Trial2!D12,Trial3!D12}, ""&lt;&gt;0""))"),5.341377480603943E-4)</f>
        <v>0.0005341377481</v>
      </c>
      <c r="E12" s="6">
        <f>IFERROR(__xludf.DUMMYFUNCTION("CONFIDENCE.T(0.05, STDEV.S(FILTER({Trial1!E12,Trial2!E12,Trial3!E12}, {Trial1!E12,Trial2!E12,Trial3!E12}&lt;&gt;0)), COUNTIF({Trial1!E12,Trial2!E12,Trial3!E12}, ""&lt;&gt;0""))"),5.450026791016855E-4)</f>
        <v>0.0005450026791</v>
      </c>
      <c r="F12" s="6">
        <f>IFERROR(__xludf.DUMMYFUNCTION("CONFIDENCE.T(0.05, STDEV.S(FILTER({Trial1!F12,Trial2!F12,Trial3!F12}, {Trial1!F12,Trial2!F12,Trial3!F12}&lt;&gt;0)), COUNTIF({Trial1!F12,Trial2!F12,Trial3!F12}, ""&lt;&gt;0""))"),0.2848572458850693)</f>
        <v>0.2848572459</v>
      </c>
      <c r="G12" s="6">
        <f>IFERROR(__xludf.DUMMYFUNCTION("CONFIDENCE.T(0.05, STDEV.S(FILTER({Trial1!G12,Trial2!G12,Trial3!G12}, {Trial1!G12,Trial2!G12,Trial3!G12}&lt;&gt;0)), COUNTIF({Trial1!G12,Trial2!G12,Trial3!G12}, ""&lt;&gt;0""))"),0.21583430508542725)</f>
        <v>0.2158343051</v>
      </c>
      <c r="H12" s="6">
        <f>IFERROR(__xludf.DUMMYFUNCTION("CONFIDENCE.T(0.05, STDEV.S(FILTER({Trial1!H12,Trial2!H12,Trial3!H12}, {Trial1!H12,Trial2!H12,Trial3!H12}&lt;&gt;0)), COUNTIF({Trial1!H12,Trial2!H12,Trial3!H12}, ""&lt;&gt;0""))"),2.484137711750055E-4)</f>
        <v>0.0002484137712</v>
      </c>
      <c r="I12" s="6">
        <f>IFERROR(__xludf.DUMMYFUNCTION("CONFIDENCE.T(0.05, STDEV.S(FILTER({Trial1!I12,Trial2!I12,Trial3!I12}, {Trial1!I12,Trial2!I12,Trial3!I12}&lt;&gt;0)), COUNTIF({Trial1!I12,Trial2!I12,Trial3!I12}, ""&lt;&gt;0""))"),7.452413135265333E-5)</f>
        <v>0.00007452413135</v>
      </c>
      <c r="J12" s="6">
        <f>IFERROR(__xludf.DUMMYFUNCTION("CONFIDENCE.T(0.05, STDEV.S(FILTER({Trial1!J12,Trial2!J12,Trial3!J12}, {Trial1!J12,Trial2!J12,Trial3!J12}&lt;&gt;0)), COUNTIF({Trial1!J12,Trial2!J12,Trial3!J12}, ""&lt;&gt;0""))"),2.9111437330989307E-4)</f>
        <v>0.0002911143733</v>
      </c>
      <c r="K12" s="19">
        <f>IFERROR(__xludf.DUMMYFUNCTION("CONFIDENCE.T(0.05, STDEV.S(FILTER({Trial1!K12,Trial2!K12,Trial3!K12}, {Trial1!K12,Trial2!K12,Trial3!K12}&lt;&gt;0)), COUNTIF({Trial1!K12,Trial2!K12,Trial3!K12}, ""&lt;&gt;0""))"),0.0032790617795104035)</f>
        <v>0.00327906178</v>
      </c>
    </row>
    <row r="13">
      <c r="A13" s="14" t="s">
        <v>22</v>
      </c>
      <c r="B13" s="16">
        <f>IFERROR(__xludf.DUMMYFUNCTION("CONFIDENCE.T(0.05, STDEV.S(FILTER({Trial1!B13,Trial2!B13,Trial3!B13}, {Trial1!B13,Trial2!B13,Trial3!B13}&lt;&gt;0)), COUNTIF({Trial1!B13,Trial2!B13,Trial3!B13}, ""&lt;&gt;0""))"),1.6146895126379495E-4)</f>
        <v>0.0001614689513</v>
      </c>
      <c r="C13" s="16">
        <f>IFERROR(__xludf.DUMMYFUNCTION("CONFIDENCE.T(0.05, STDEV.S(FILTER({Trial1!C13,Trial2!C13,Trial3!C13}, {Trial1!C13,Trial2!C13,Trial3!C13}&lt;&gt;0)), COUNTIF({Trial1!C13,Trial2!C13,Trial3!C13}, ""&lt;&gt;0""))"),0.0018406661435066665)</f>
        <v>0.001840666144</v>
      </c>
      <c r="D13" s="16">
        <f>IFERROR(__xludf.DUMMYFUNCTION("CONFIDENCE.T(0.05, STDEV.S(FILTER({Trial1!D13,Trial2!D13,Trial3!D13}, {Trial1!D13,Trial2!D13,Trial3!D13}&lt;&gt;0)), COUNTIF({Trial1!D13,Trial2!D13,Trial3!D13}, ""&lt;&gt;0""))"),3.7945830335975436E-5)</f>
        <v>0.00003794583034</v>
      </c>
      <c r="E13" s="16">
        <f>IFERROR(__xludf.DUMMYFUNCTION("CONFIDENCE.T(0.05, STDEV.S(FILTER({Trial1!E13,Trial2!E13,Trial3!E13}, {Trial1!E13,Trial2!E13,Trial3!E13}&lt;&gt;0)), COUNTIF({Trial1!E13,Trial2!E13,Trial3!E13}, ""&lt;&gt;0""))"),1.9401735758103276E-4)</f>
        <v>0.0001940173576</v>
      </c>
      <c r="F13" s="16">
        <f>IFERROR(__xludf.DUMMYFUNCTION("CONFIDENCE.T(0.05, STDEV.S(FILTER({Trial1!F13,Trial2!F13,Trial3!F13}, {Trial1!F13,Trial2!F13,Trial3!F13}&lt;&gt;0)), COUNTIF({Trial1!F13,Trial2!F13,Trial3!F13}, ""&lt;&gt;0""))"),0.12889276711502926)</f>
        <v>0.1288927671</v>
      </c>
      <c r="G13" s="16">
        <f>IFERROR(__xludf.DUMMYFUNCTION("CONFIDENCE.T(0.05, STDEV.S(FILTER({Trial1!G13,Trial2!G13,Trial3!G13}, {Trial1!G13,Trial2!G13,Trial3!G13}&lt;&gt;0)), COUNTIF({Trial1!G13,Trial2!G13,Trial3!G13}, ""&lt;&gt;0""))"),0.09945245328992444)</f>
        <v>0.09945245329</v>
      </c>
      <c r="H13" s="16">
        <f>IFERROR(__xludf.DUMMYFUNCTION("CONFIDENCE.T(0.05, STDEV.S(FILTER({Trial1!H13,Trial2!H13,Trial3!H13}, {Trial1!H13,Trial2!H13,Trial3!H13}&lt;&gt;0)), COUNTIF({Trial1!H13,Trial2!H13,Trial3!H13}, ""&lt;&gt;0""))"),4.9682754235056256E-5)</f>
        <v>0.00004968275424</v>
      </c>
      <c r="I13" s="16">
        <f>IFERROR(__xludf.DUMMYFUNCTION("CONFIDENCE.T(0.05, STDEV.S(FILTER({Trial1!I13,Trial2!I13,Trial3!I13}, {Trial1!I13,Trial2!I13,Trial3!I13}&lt;&gt;0)), COUNTIF({Trial1!I13,Trial2!I13,Trial3!I13}, ""&lt;&gt;0""))"),1.7388963982255902E-4)</f>
        <v>0.0001738896398</v>
      </c>
      <c r="J13" s="16">
        <f>IFERROR(__xludf.DUMMYFUNCTION("CONFIDENCE.T(0.05, STDEV.S(FILTER({Trial1!J13,Trial2!J13,Trial3!J13}, {Trial1!J13,Trial2!J13,Trial3!J13}&lt;&gt;0)), COUNTIF({Trial1!J13,Trial2!J13,Trial3!J13}, ""&lt;&gt;0""))"),1.4342175765646838E-5)</f>
        <v>0.00001434217577</v>
      </c>
      <c r="K13" s="23">
        <f>IFERROR(__xludf.DUMMYFUNCTION("CONFIDENCE.T(0.05, STDEV.S(FILTER({Trial1!K13,Trial2!K13,Trial3!K13}, {Trial1!K13,Trial2!K13,Trial3!K13}&lt;&gt;0)), COUNTIF({Trial1!K13,Trial2!K13,Trial3!K13}, ""&lt;&gt;0""))"),0.0018382619066953578)</f>
        <v>0.001838261907</v>
      </c>
    </row>
  </sheetData>
  <dataValidations>
    <dataValidation type="custom" allowBlank="1" showDropDown="1" sqref="B2:K13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9.38"/>
    <col customWidth="1" min="3" max="3" width="30.88"/>
    <col customWidth="1" min="4" max="4" width="23.13"/>
    <col customWidth="1" min="5" max="5" width="24.88"/>
    <col customWidth="1" min="6" max="6" width="21.38"/>
    <col customWidth="1" min="7" max="7" width="26.88"/>
    <col customWidth="1" min="8" max="8" width="22.38"/>
    <col customWidth="1" min="9" max="9" width="33.88"/>
    <col customWidth="1" min="10" max="10" width="15.75"/>
    <col customWidth="1" min="11" max="11" width="1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 t="s">
        <v>11</v>
      </c>
      <c r="B2" s="26" t="str">
        <f>"(" &amp; TEXT(Average!B2 - ConfidenceInterval!B2, "0.00") &amp; ", " &amp; TEXT(Average!B2 + ConfidenceInterval!B2, "0.00") &amp; ")"
</f>
        <v>(6.04, 8.36)</v>
      </c>
      <c r="C2" s="26" t="str">
        <f>"(" &amp; TEXT(Average!C2 - ConfidenceInterval!C2, "0.00") &amp; ", " &amp; TEXT(Average!C2 + ConfidenceInterval!C2, "0.00") &amp; ")"
</f>
        <v>(3.88, 5.89)</v>
      </c>
      <c r="D2" s="26" t="str">
        <f>"(" &amp; TEXT(Average!D2 - ConfidenceInterval!D2, "0.00") &amp; ", " &amp; TEXT(Average!D2 + ConfidenceInterval!D2, "0.00") &amp; ")"
</f>
        <v>(2.88, 3.85)</v>
      </c>
      <c r="E2" s="26" t="str">
        <f>"(" &amp; TEXT(Average!E2 - ConfidenceInterval!E2, "0.00") &amp; ", " &amp; TEXT(Average!E2 + ConfidenceInterval!E2, "0.00") &amp; ")"
</f>
        <v>(2.98, 4.19)</v>
      </c>
      <c r="F2" s="26" t="str">
        <f>"(" &amp; TEXT(Average!F2 - ConfidenceInterval!F2, "0.00") &amp; ", " &amp; TEXT(Average!F2 + ConfidenceInterval!F2, "0.00") &amp; ")"
</f>
        <v>(7.57, 7.62)</v>
      </c>
      <c r="G2" s="26" t="str">
        <f>"(" &amp; TEXT(Average!G2 - ConfidenceInterval!G2, "0.00") &amp; ", " &amp; TEXT(Average!G2 + ConfidenceInterval!G2, "0.00") &amp; ")"
</f>
        <v>(7.03, 7.07)</v>
      </c>
      <c r="H2" s="26" t="str">
        <f>"(" &amp; TEXT(Average!H2 - ConfidenceInterval!H2, "0.00") &amp; ", " &amp; TEXT(Average!H2 + ConfidenceInterval!H2, "0.00") &amp; ")"
</f>
        <v>(6.21, 7.00)</v>
      </c>
      <c r="I2" s="26" t="str">
        <f>"(" &amp; TEXT(Average!I2 - ConfidenceInterval!I2, "0.00") &amp; ", " &amp; TEXT(Average!I2 + ConfidenceInterval!I2, "0.00") &amp; ")"
</f>
        <v>(4.20, 5.86)</v>
      </c>
      <c r="J2" s="26" t="str">
        <f>"(" &amp; TEXT(Average!J2 - ConfidenceInterval!J2, "0.00") &amp; ", " &amp; TEXT(Average!J2 + ConfidenceInterval!J2, "0.00") &amp; ")"
</f>
        <v>(0.37, 0.88)</v>
      </c>
      <c r="K2" s="27" t="str">
        <f>"(" &amp; TEXT(Average!K2 - ConfidenceInterval!K2, "0.00") &amp; ", " &amp; TEXT(Average!K2 + ConfidenceInterval!K2, "0.00") &amp; ")"
</f>
        <v>(3.14, 4.18)</v>
      </c>
    </row>
    <row r="3">
      <c r="A3" s="8" t="s">
        <v>12</v>
      </c>
      <c r="B3" s="28" t="str">
        <f>"(" &amp; TEXT(Average!B3 - ConfidenceInterval!B3, "0.00") &amp; ", " &amp; TEXT(Average!B3 + ConfidenceInterval!B3, "0.00") &amp; ")"
</f>
        <v>(2.88, 3.85)</v>
      </c>
      <c r="C3" s="28" t="str">
        <f>"(" &amp; TEXT(Average!C3 - ConfidenceInterval!C3, "0.00") &amp; ", " &amp; TEXT(Average!C3 + ConfidenceInterval!C3, "0.00") &amp; ")"
</f>
        <v>(1.80, 2.74)</v>
      </c>
      <c r="D3" s="28" t="str">
        <f>"(" &amp; TEXT(Average!D3 - ConfidenceInterval!D3, "0.00") &amp; ", " &amp; TEXT(Average!D3 + ConfidenceInterval!D3, "0.00") &amp; ")"
</f>
        <v>(1.34, 1.79)</v>
      </c>
      <c r="E3" s="28" t="str">
        <f>"(" &amp; TEXT(Average!E3 - ConfidenceInterval!E3, "0.00") &amp; ", " &amp; TEXT(Average!E3 + ConfidenceInterval!E3, "0.00") &amp; ")"
</f>
        <v>(1.39, 1.95)</v>
      </c>
      <c r="F3" s="28" t="str">
        <f>"(" &amp; TEXT(Average!F3 - ConfidenceInterval!F3, "0.00") &amp; ", " &amp; TEXT(Average!F3 + ConfidenceInterval!F3, "0.00") &amp; ")"
</f>
        <v>(3.52, 3.54)</v>
      </c>
      <c r="G3" s="28" t="str">
        <f>"(" &amp; TEXT(Average!G3 - ConfidenceInterval!G3, "0.00") &amp; ", " &amp; TEXT(Average!G3 + ConfidenceInterval!G3, "0.00") &amp; ")"
</f>
        <v>(3.27, 3.29)</v>
      </c>
      <c r="H3" s="28" t="str">
        <f>"(" &amp; TEXT(Average!H3 - ConfidenceInterval!H3, "0.00") &amp; ", " &amp; TEXT(Average!H3 + ConfidenceInterval!H3, "0.00") &amp; ")"
</f>
        <v>(2.88, 3.25)</v>
      </c>
      <c r="I3" s="28" t="str">
        <f>"(" &amp; TEXT(Average!I3 - ConfidenceInterval!I3, "0.00") &amp; ", " &amp; TEXT(Average!I3 + ConfidenceInterval!I3, "0.00") &amp; ")"
</f>
        <v>(1.95, 2.72)</v>
      </c>
      <c r="J3" s="28" t="str">
        <f>"(" &amp; TEXT(Average!J3 - ConfidenceInterval!J3, "0.00") &amp; ", " &amp; TEXT(Average!J3 + ConfidenceInterval!J3, "0.00") &amp; ")"
</f>
        <v>(0.17, 0.41)</v>
      </c>
      <c r="K3" s="29" t="str">
        <f>"(" &amp; TEXT(Average!K3 - ConfidenceInterval!K3, "0.00") &amp; ", " &amp; TEXT(Average!K3 + ConfidenceInterval!K3, "0.00") &amp; ")"
</f>
        <v>(1.46, 1.94)</v>
      </c>
    </row>
    <row r="4">
      <c r="A4" s="4" t="s">
        <v>13</v>
      </c>
      <c r="B4" s="26" t="str">
        <f>"(" &amp; TEXT(Average!B4 - ConfidenceInterval!B4, "0.00") &amp; ", " &amp; TEXT(Average!B4 + ConfidenceInterval!B4, "0.00") &amp; ")"
</f>
        <v>(1.76, 4.34)</v>
      </c>
      <c r="C4" s="26" t="str">
        <f>"(" &amp; TEXT(Average!C4 - ConfidenceInterval!C4, "0.00") &amp; ", " &amp; TEXT(Average!C4 + ConfidenceInterval!C4, "0.00") &amp; ")"
</f>
        <v>(1.15, 3.13)</v>
      </c>
      <c r="D4" s="26" t="str">
        <f>"(" &amp; TEXT(Average!D4 - ConfidenceInterval!D4, "0.00") &amp; ", " &amp; TEXT(Average!D4 + ConfidenceInterval!D4, "0.00") &amp; ")"
</f>
        <v>(0.74, 2.01)</v>
      </c>
      <c r="E4" s="26" t="str">
        <f>"(" &amp; TEXT(Average!E4 - ConfidenceInterval!E4, "0.00") &amp; ", " &amp; TEXT(Average!E4 + ConfidenceInterval!E4, "0.00") &amp; ")"
</f>
        <v>(0.88, 2.27)</v>
      </c>
      <c r="F4" s="26" t="str">
        <f>"(" &amp; TEXT(Average!F4 - ConfidenceInterval!F4, "0.00") &amp; ", " &amp; TEXT(Average!F4 + ConfidenceInterval!F4, "0.00") &amp; ")"
</f>
        <v>(3.52, 3.54)</v>
      </c>
      <c r="G4" s="26" t="str">
        <f>"(" &amp; TEXT(Average!G4 - ConfidenceInterval!G4, "0.00") &amp; ", " &amp; TEXT(Average!G4 + ConfidenceInterval!G4, "0.00") &amp; ")"
</f>
        <v>(3.30, 3.31)</v>
      </c>
      <c r="H4" s="26" t="str">
        <f>"(" &amp; TEXT(Average!H4 - ConfidenceInterval!H4, "0.00") &amp; ", " &amp; TEXT(Average!H4 + ConfidenceInterval!H4, "0.00") &amp; ")"
</f>
        <v>(1.90, 3.65)</v>
      </c>
      <c r="I4" s="26" t="str">
        <f>"(" &amp; TEXT(Average!I4 - ConfidenceInterval!I4, "0.00") &amp; ", " &amp; TEXT(Average!I4 + ConfidenceInterval!I4, "0.00") &amp; ")"
</f>
        <v>(1.22, 3.04)</v>
      </c>
      <c r="J4" s="26" t="str">
        <f>"(" &amp; TEXT(Average!J4 - ConfidenceInterval!J4, "0.00") &amp; ", " &amp; TEXT(Average!J4 + ConfidenceInterval!J4, "0.00") &amp; ")"
</f>
        <v>(0.10, 0.46)</v>
      </c>
      <c r="K4" s="27" t="str">
        <f>"(" &amp; TEXT(Average!K4 - ConfidenceInterval!K4, "0.00") &amp; ", " &amp; TEXT(Average!K4 + ConfidenceInterval!K4, "0.00") &amp; ")"
</f>
        <v>(0.94, 2.17)</v>
      </c>
    </row>
    <row r="5">
      <c r="A5" s="8" t="s">
        <v>14</v>
      </c>
      <c r="B5" s="28" t="str">
        <f>"(" &amp; TEXT(Average!B5 - ConfidenceInterval!B5, "0.00") &amp; ", " &amp; TEXT(Average!B5 + ConfidenceInterval!B5, "0.00") &amp; ")"
</f>
        <v>(3.64, 4.06)</v>
      </c>
      <c r="C5" s="28" t="str">
        <f>"(" &amp; TEXT(Average!C5 - ConfidenceInterval!C5, "0.00") &amp; ", " &amp; TEXT(Average!C5 + ConfidenceInterval!C5, "0.00") &amp; ")"
</f>
        <v>(2.24, 2.83)</v>
      </c>
      <c r="D5" s="28" t="str">
        <f>"(" &amp; TEXT(Average!D5 - ConfidenceInterval!D5, "0.00") &amp; ", " &amp; TEXT(Average!D5 + ConfidenceInterval!D5, "0.00") &amp; ")"
</f>
        <v>(1.66, 2.04)</v>
      </c>
      <c r="E5" s="28" t="str">
        <f>"(" &amp; TEXT(Average!E5 - ConfidenceInterval!E5, "0.00") &amp; ", " &amp; TEXT(Average!E5 + ConfidenceInterval!E5, "0.00") &amp; ")"
</f>
        <v>(1.65, 2.07)</v>
      </c>
      <c r="F5" s="28" t="str">
        <f>"(" &amp; TEXT(Average!F5 - ConfidenceInterval!F5, "0.00") &amp; ", " &amp; TEXT(Average!F5 + ConfidenceInterval!F5, "0.00") &amp; ")"
</f>
        <v>(3.72, 3.74)</v>
      </c>
      <c r="G5" s="28" t="str">
        <f>"(" &amp; TEXT(Average!G5 - ConfidenceInterval!G5, "0.00") &amp; ", " &amp; TEXT(Average!G5 + ConfidenceInterval!G5, "0.00") &amp; ")"
</f>
        <v>(3.43, 3.45)</v>
      </c>
      <c r="H5" s="28" t="str">
        <f>"(" &amp; TEXT(Average!H5 - ConfidenceInterval!H5, "0.00") &amp; ", " &amp; TEXT(Average!H5 + ConfidenceInterval!H5, "0.00") &amp; ")"
</f>
        <v>(3.03, 4.08)</v>
      </c>
      <c r="I5" s="28" t="str">
        <f>"(" &amp; TEXT(Average!I5 - ConfidenceInterval!I5, "0.00") &amp; ", " &amp; TEXT(Average!I5 + ConfidenceInterval!I5, "0.00") &amp; ")"
</f>
        <v>(2.55, 2.82)</v>
      </c>
      <c r="J5" s="28" t="str">
        <f>"(" &amp; TEXT(Average!J5 - ConfidenceInterval!J5, "0.00") &amp; ", " &amp; TEXT(Average!J5 + ConfidenceInterval!J5, "0.00") &amp; ")"
</f>
        <v>(0.24, 0.40)</v>
      </c>
      <c r="K5" s="29" t="str">
        <f>"(" &amp; TEXT(Average!K5 - ConfidenceInterval!K5, "0.00") &amp; ", " &amp; TEXT(Average!K5 + ConfidenceInterval!K5, "0.00") &amp; ")"
</f>
        <v>(1.82, 2.09)</v>
      </c>
    </row>
    <row r="6">
      <c r="A6" s="4" t="s">
        <v>15</v>
      </c>
      <c r="B6" s="26" t="str">
        <f>"(" &amp; TEXT(Average!B6 - ConfidenceInterval!B6, "0.00") &amp; ", " &amp; TEXT(Average!B6 + ConfidenceInterval!B6, "0.00") &amp; ")"
</f>
        <v>(0.22, 0.38)</v>
      </c>
      <c r="C6" s="26" t="str">
        <f>"(" &amp; TEXT(Average!C6 - ConfidenceInterval!C6, "0.00") &amp; ", " &amp; TEXT(Average!C6 + ConfidenceInterval!C6, "0.00") &amp; ")"
</f>
        <v>(0.14, 0.27)</v>
      </c>
      <c r="D6" s="26" t="str">
        <f>"(" &amp; TEXT(Average!D6 - ConfidenceInterval!D6, "0.00") &amp; ", " &amp; TEXT(Average!D6 + ConfidenceInterval!D6, "0.00") &amp; ")"
</f>
        <v>(0.10, 0.18)</v>
      </c>
      <c r="E6" s="26" t="str">
        <f>"(" &amp; TEXT(Average!E6 - ConfidenceInterval!E6, "0.00") &amp; ", " &amp; TEXT(Average!E6 + ConfidenceInterval!E6, "0.00") &amp; ")"
</f>
        <v>(0.11, 0.20)</v>
      </c>
      <c r="F6" s="26" t="str">
        <f>"(" &amp; TEXT(Average!F6 - ConfidenceInterval!F6, "0.00") &amp; ", " &amp; TEXT(Average!F6 + ConfidenceInterval!F6, "0.00") &amp; ")"
</f>
        <v>(0.33, 0.33)</v>
      </c>
      <c r="G6" s="26" t="str">
        <f>"(" &amp; TEXT(Average!G6 - ConfidenceInterval!G6, "0.00") &amp; ", " &amp; TEXT(Average!G6 + ConfidenceInterval!G6, "0.00") &amp; ")"
</f>
        <v>(0.31, 0.31)</v>
      </c>
      <c r="H6" s="26" t="str">
        <f>"(" &amp; TEXT(Average!H6 - ConfidenceInterval!H6, "0.00") &amp; ", " &amp; TEXT(Average!H6 + ConfidenceInterval!H6, "0.00") &amp; ")"
</f>
        <v>(0.23, 0.32)</v>
      </c>
      <c r="I6" s="26" t="str">
        <f>"(" &amp; TEXT(Average!I6 - ConfidenceInterval!I6, "0.00") &amp; ", " &amp; TEXT(Average!I6 + ConfidenceInterval!I6, "0.00") &amp; ")"
</f>
        <v>(0.15, 0.27)</v>
      </c>
      <c r="J6" s="26" t="str">
        <f>"(" &amp; TEXT(Average!J6 - ConfidenceInterval!J6, "0.00") &amp; ", " &amp; TEXT(Average!J6 + ConfidenceInterval!J6, "0.00") &amp; ")"
</f>
        <v>(0.01, 0.04)</v>
      </c>
      <c r="K6" s="27" t="str">
        <f>"(" &amp; TEXT(Average!K6 - ConfidenceInterval!K6, "0.00") &amp; ", " &amp; TEXT(Average!K6 + ConfidenceInterval!K6, "0.00") &amp; ")"
</f>
        <v>(0.11, 0.19)</v>
      </c>
    </row>
    <row r="7">
      <c r="A7" s="8" t="s">
        <v>16</v>
      </c>
      <c r="B7" s="28" t="str">
        <f>"(" &amp; TEXT(Average!B7 - ConfidenceInterval!B7, "0.00") &amp; ", " &amp; TEXT(Average!B7 + ConfidenceInterval!B7, "0.00") &amp; ")"
</f>
        <v>(0.00, 0.00)</v>
      </c>
      <c r="C7" s="28" t="str">
        <f>"(" &amp; TEXT(Average!C7 - ConfidenceInterval!C7, "0.00") &amp; ", " &amp; TEXT(Average!C7 + ConfidenceInterval!C7, "0.00") &amp; ")"
</f>
        <v>(0.00, 0.00)</v>
      </c>
      <c r="D7" s="28" t="str">
        <f>"(" &amp; TEXT(Average!D7 - ConfidenceInterval!D7, "0.00") &amp; ", " &amp; TEXT(Average!D7 + ConfidenceInterval!D7, "0.00") &amp; ")"
</f>
        <v>(0.00, 0.00)</v>
      </c>
      <c r="E7" s="28" t="str">
        <f>"(" &amp; TEXT(Average!E7 - ConfidenceInterval!E7, "0.00") &amp; ", " &amp; TEXT(Average!E7 + ConfidenceInterval!E7, "0.00") &amp; ")"
</f>
        <v>(0.00, 0.00)</v>
      </c>
      <c r="F7" s="28" t="str">
        <f>"(" &amp; TEXT(Average!F7 - ConfidenceInterval!F7, "0.00") &amp; ", " &amp; TEXT(Average!F7 + ConfidenceInterval!F7, "0.00") &amp; ")"
</f>
        <v>#NUM!</v>
      </c>
      <c r="G7" s="28" t="str">
        <f>"(" &amp; TEXT(Average!G7 - ConfidenceInterval!G7, "0.00") &amp; ", " &amp; TEXT(Average!G7 + ConfidenceInterval!G7, "0.00") &amp; ")"
</f>
        <v>#NUM!</v>
      </c>
      <c r="H7" s="28" t="str">
        <f>"(" &amp; TEXT(Average!H7 - ConfidenceInterval!H7, "0.00") &amp; ", " &amp; TEXT(Average!H7 + ConfidenceInterval!H7, "0.00") &amp; ")"
</f>
        <v>(0.00, 0.00)</v>
      </c>
      <c r="I7" s="28" t="str">
        <f>"(" &amp; TEXT(Average!I7 - ConfidenceInterval!I7, "0.00") &amp; ", " &amp; TEXT(Average!I7 + ConfidenceInterval!I7, "0.00") &amp; ")"
</f>
        <v>(0.00, 0.00)</v>
      </c>
      <c r="J7" s="28" t="str">
        <f>"(" &amp; TEXT(Average!J7 - ConfidenceInterval!J7, "0.00") &amp; ", " &amp; TEXT(Average!J7 + ConfidenceInterval!J7, "0.00") &amp; ")"
</f>
        <v>(0.00, 0.00)</v>
      </c>
      <c r="K7" s="29" t="str">
        <f>"(" &amp; TEXT(Average!K7 - ConfidenceInterval!K7, "0.00") &amp; ", " &amp; TEXT(Average!K7 + ConfidenceInterval!K7, "0.00") &amp; ")"
</f>
        <v>(0.00, 0.00)</v>
      </c>
    </row>
    <row r="8">
      <c r="A8" s="4" t="s">
        <v>17</v>
      </c>
      <c r="B8" s="26" t="str">
        <f>"(" &amp; TEXT(Average!B8 - ConfidenceInterval!B8, "0.00") &amp; ", " &amp; TEXT(Average!B8 + ConfidenceInterval!B8, "0.00") &amp; ")"
</f>
        <v>(3313.81, 3688.52)</v>
      </c>
      <c r="C8" s="26" t="str">
        <f>"(" &amp; TEXT(Average!C8 - ConfidenceInterval!C8, "0.00") &amp; ", " &amp; TEXT(Average!C8 + ConfidenceInterval!C8, "0.00") &amp; ")"
</f>
        <v>(2007.38, 2613.99)</v>
      </c>
      <c r="D8" s="26" t="str">
        <f>"(" &amp; TEXT(Average!D8 - ConfidenceInterval!D8, "0.00") &amp; ", " &amp; TEXT(Average!D8 + ConfidenceInterval!D8, "0.00") &amp; ")"
</f>
        <v>(1500.14, 1881.91)</v>
      </c>
      <c r="E8" s="26" t="str">
        <f>"(" &amp; TEXT(Average!E8 - ConfidenceInterval!E8, "0.00") &amp; ", " &amp; TEXT(Average!E8 + ConfidenceInterval!E8, "0.00") &amp; ")"
</f>
        <v>(1515.43, 1888.77)</v>
      </c>
      <c r="F8" s="26" t="str">
        <f>"(" &amp; TEXT(Average!F8 - ConfidenceInterval!F8, "0.00") &amp; ", " &amp; TEXT(Average!F8 + ConfidenceInterval!F8, "0.00") &amp; ")"
</f>
        <v>(3381.84, 3399.98)</v>
      </c>
      <c r="G8" s="26" t="str">
        <f>"(" &amp; TEXT(Average!G8 - ConfidenceInterval!G8, "0.00") &amp; ", " &amp; TEXT(Average!G8 + ConfidenceInterval!G8, "0.00") &amp; ")"
</f>
        <v>(3165.88, 3182.86)</v>
      </c>
      <c r="H8" s="26" t="str">
        <f>"(" &amp; TEXT(Average!H8 - ConfidenceInterval!H8, "0.00") &amp; ", " &amp; TEXT(Average!H8 + ConfidenceInterval!H8, "0.00") &amp; ")"
</f>
        <v>(2692.23, 3737.93)</v>
      </c>
      <c r="I8" s="26" t="str">
        <f>"(" &amp; TEXT(Average!I8 - ConfidenceInterval!I8, "0.00") &amp; ", " &amp; TEXT(Average!I8 + ConfidenceInterval!I8, "0.00") &amp; ")"
</f>
        <v>(2325.16, 2569.99)</v>
      </c>
      <c r="J8" s="26" t="str">
        <f>"(" &amp; TEXT(Average!J8 - ConfidenceInterval!J8, "0.00") &amp; ", " &amp; TEXT(Average!J8 + ConfidenceInterval!J8, "0.00") &amp; ")"
</f>
        <v>(224.09, 372.80)</v>
      </c>
      <c r="K8" s="27" t="str">
        <f>"(" &amp; TEXT(Average!K8 - ConfidenceInterval!K8, "0.00") &amp; ", " &amp; TEXT(Average!K8 + ConfidenceInterval!K8, "0.00") &amp; ")"
</f>
        <v>(1644.51, 1931.60)</v>
      </c>
    </row>
    <row r="9">
      <c r="A9" s="8" t="s">
        <v>18</v>
      </c>
      <c r="B9" s="28" t="str">
        <f>"(" &amp; TEXT(Average!B9 - ConfidenceInterval!B9, "0.00") &amp; ", " &amp; TEXT(Average!B9 + ConfidenceInterval!B9, "0.00") &amp; ")"
</f>
        <v>(0.96, 0.96)</v>
      </c>
      <c r="C9" s="28" t="str">
        <f>"(" &amp; TEXT(Average!C9 - ConfidenceInterval!C9, "0.00") &amp; ", " &amp; TEXT(Average!C9 + ConfidenceInterval!C9, "0.00") &amp; ")"
</f>
        <v>(0.96, 0.96)</v>
      </c>
      <c r="D9" s="28" t="str">
        <f>"(" &amp; TEXT(Average!D9 - ConfidenceInterval!D9, "0.00") &amp; ", " &amp; TEXT(Average!D9 + ConfidenceInterval!D9, "0.00") &amp; ")"
</f>
        <v>(0.96, 0.96)</v>
      </c>
      <c r="E9" s="28" t="str">
        <f>"(" &amp; TEXT(Average!E9 - ConfidenceInterval!E9, "0.00") &amp; ", " &amp; TEXT(Average!E9 + ConfidenceInterval!E9, "0.00") &amp; ")"
</f>
        <v>(0.96, 0.96)</v>
      </c>
      <c r="F9" s="28" t="str">
        <f>"(" &amp; TEXT(Average!F9 - ConfidenceInterval!F9, "0.00") &amp; ", " &amp; TEXT(Average!F9 + ConfidenceInterval!F9, "0.00") &amp; ")"
</f>
        <v>(0.64, 1.08)</v>
      </c>
      <c r="G9" s="28" t="str">
        <f>"(" &amp; TEXT(Average!G9 - ConfidenceInterval!G9, "0.00") &amp; ", " &amp; TEXT(Average!G9 + ConfidenceInterval!G9, "0.00") &amp; ")"
</f>
        <v>(0.49, 0.82)</v>
      </c>
      <c r="H9" s="28" t="str">
        <f>"(" &amp; TEXT(Average!H9 - ConfidenceInterval!H9, "0.00") &amp; ", " &amp; TEXT(Average!H9 + ConfidenceInterval!H9, "0.00") &amp; ")"
</f>
        <v>(0.97, 0.97)</v>
      </c>
      <c r="I9" s="28" t="str">
        <f>"(" &amp; TEXT(Average!I9 - ConfidenceInterval!I9, "0.00") &amp; ", " &amp; TEXT(Average!I9 + ConfidenceInterval!I9, "0.00") &amp; ")"
</f>
        <v>(0.96, 0.96)</v>
      </c>
      <c r="J9" s="28" t="str">
        <f>"(" &amp; TEXT(Average!J9 - ConfidenceInterval!J9, "0.00") &amp; ", " &amp; TEXT(Average!J9 + ConfidenceInterval!J9, "0.00") &amp; ")"
</f>
        <v>(0.95, 0.95)</v>
      </c>
      <c r="K9" s="29" t="str">
        <f>"(" &amp; TEXT(Average!K9 - ConfidenceInterval!K9, "0.00") &amp; ", " &amp; TEXT(Average!K9 + ConfidenceInterval!K9, "0.00") &amp; ")"
</f>
        <v>(0.92, 0.93)</v>
      </c>
    </row>
    <row r="10">
      <c r="A10" s="4" t="s">
        <v>19</v>
      </c>
      <c r="B10" s="26" t="str">
        <f>"(" &amp; TEXT(Average!B10 - ConfidenceInterval!B10, "0.00") &amp; ", " &amp; TEXT(Average!B10 + ConfidenceInterval!B10, "0.00") &amp; ")"
</f>
        <v>(0.96, 0.96)</v>
      </c>
      <c r="C10" s="26" t="str">
        <f>"(" &amp; TEXT(Average!C10 - ConfidenceInterval!C10, "0.00") &amp; ", " &amp; TEXT(Average!C10 + ConfidenceInterval!C10, "0.00") &amp; ")"
</f>
        <v>(0.96, 0.96)</v>
      </c>
      <c r="D10" s="26" t="str">
        <f>"(" &amp; TEXT(Average!D10 - ConfidenceInterval!D10, "0.00") &amp; ", " &amp; TEXT(Average!D10 + ConfidenceInterval!D10, "0.00") &amp; ")"
</f>
        <v>(0.96, 0.96)</v>
      </c>
      <c r="E10" s="26" t="str">
        <f>"(" &amp; TEXT(Average!E10 - ConfidenceInterval!E10, "0.00") &amp; ", " &amp; TEXT(Average!E10 + ConfidenceInterval!E10, "0.00") &amp; ")"
</f>
        <v>(0.96, 0.96)</v>
      </c>
      <c r="F10" s="26" t="str">
        <f>"(" &amp; TEXT(Average!F10 - ConfidenceInterval!F10, "0.00") &amp; ", " &amp; TEXT(Average!F10 + ConfidenceInterval!F10, "0.00") &amp; ")"
</f>
        <v>(0.75, 1.04)</v>
      </c>
      <c r="G10" s="26" t="str">
        <f>"(" &amp; TEXT(Average!G10 - ConfidenceInterval!G10, "0.00") &amp; ", " &amp; TEXT(Average!G10 + ConfidenceInterval!G10, "0.00") &amp; ")"
</f>
        <v>(0.57, 0.79)</v>
      </c>
      <c r="H10" s="26" t="str">
        <f>"(" &amp; TEXT(Average!H10 - ConfidenceInterval!H10, "0.00") &amp; ", " &amp; TEXT(Average!H10 + ConfidenceInterval!H10, "0.00") &amp; ")"
</f>
        <v>(0.97, 0.97)</v>
      </c>
      <c r="I10" s="26" t="str">
        <f>"(" &amp; TEXT(Average!I10 - ConfidenceInterval!I10, "0.00") &amp; ", " &amp; TEXT(Average!I10 + ConfidenceInterval!I10, "0.00") &amp; ")"
</f>
        <v>(0.96, 0.96)</v>
      </c>
      <c r="J10" s="26" t="str">
        <f>"(" &amp; TEXT(Average!J10 - ConfidenceInterval!J10, "0.00") &amp; ", " &amp; TEXT(Average!J10 + ConfidenceInterval!J10, "0.00") &amp; ")"
</f>
        <v>(0.95, 0.95)</v>
      </c>
      <c r="K10" s="27" t="str">
        <f>"(" &amp; TEXT(Average!K10 - ConfidenceInterval!K10, "0.00") &amp; ", " &amp; TEXT(Average!K10 + ConfidenceInterval!K10, "0.00") &amp; ")"
</f>
        <v>(0.92, 0.93)</v>
      </c>
    </row>
    <row r="11">
      <c r="A11" s="8" t="s">
        <v>20</v>
      </c>
      <c r="B11" s="28" t="str">
        <f>"(" &amp; TEXT(Average!B11 - ConfidenceInterval!B11, "0.00") &amp; ", " &amp; TEXT(Average!B11 + ConfidenceInterval!B11, "0.00") &amp; ")"
</f>
        <v>(0.96, 0.96)</v>
      </c>
      <c r="C11" s="28" t="str">
        <f>"(" &amp; TEXT(Average!C11 - ConfidenceInterval!C11, "0.00") &amp; ", " &amp; TEXT(Average!C11 + ConfidenceInterval!C11, "0.00") &amp; ")"
</f>
        <v>(0.96, 0.96)</v>
      </c>
      <c r="D11" s="28" t="str">
        <f>"(" &amp; TEXT(Average!D11 - ConfidenceInterval!D11, "0.00") &amp; ", " &amp; TEXT(Average!D11 + ConfidenceInterval!D11, "0.00") &amp; ")"
</f>
        <v>(0.96, 0.96)</v>
      </c>
      <c r="E11" s="28" t="str">
        <f>"(" &amp; TEXT(Average!E11 - ConfidenceInterval!E11, "0.00") &amp; ", " &amp; TEXT(Average!E11 + ConfidenceInterval!E11, "0.00") &amp; ")"
</f>
        <v>(0.96, 0.96)</v>
      </c>
      <c r="F11" s="28" t="str">
        <f>"(" &amp; TEXT(Average!F11 - ConfidenceInterval!F11, "0.00") &amp; ", " &amp; TEXT(Average!F11 + ConfidenceInterval!F11, "0.00") &amp; ")"
</f>
        <v>(0.64, 1.08)</v>
      </c>
      <c r="G11" s="28" t="str">
        <f>"(" &amp; TEXT(Average!G11 - ConfidenceInterval!G11, "0.00") &amp; ", " &amp; TEXT(Average!G11 + ConfidenceInterval!G11, "0.00") &amp; ")"
</f>
        <v>(0.49, 0.82)</v>
      </c>
      <c r="H11" s="28" t="str">
        <f>"(" &amp; TEXT(Average!H11 - ConfidenceInterval!H11, "0.00") &amp; ", " &amp; TEXT(Average!H11 + ConfidenceInterval!H11, "0.00") &amp; ")"
</f>
        <v>(0.97, 0.97)</v>
      </c>
      <c r="I11" s="28" t="str">
        <f>"(" &amp; TEXT(Average!I11 - ConfidenceInterval!I11, "0.00") &amp; ", " &amp; TEXT(Average!I11 + ConfidenceInterval!I11, "0.00") &amp; ")"
</f>
        <v>(0.96, 0.96)</v>
      </c>
      <c r="J11" s="28" t="str">
        <f>"(" &amp; TEXT(Average!J11 - ConfidenceInterval!J11, "0.00") &amp; ", " &amp; TEXT(Average!J11 + ConfidenceInterval!J11, "0.00") &amp; ")"
</f>
        <v>(0.95, 0.95)</v>
      </c>
      <c r="K11" s="29" t="str">
        <f>"(" &amp; TEXT(Average!K11 - ConfidenceInterval!K11, "0.00") &amp; ", " &amp; TEXT(Average!K11 + ConfidenceInterval!K11, "0.00") &amp; ")"
</f>
        <v>(0.92, 0.93)</v>
      </c>
    </row>
    <row r="12">
      <c r="A12" s="4" t="s">
        <v>21</v>
      </c>
      <c r="B12" s="26" t="str">
        <f>"(" &amp; TEXT(Average!B12 - ConfidenceInterval!B12, "0.00") &amp; ", " &amp; TEXT(Average!B12 + ConfidenceInterval!B12, "0.00") &amp; ")"
</f>
        <v>(0.96, 0.96)</v>
      </c>
      <c r="C12" s="26" t="str">
        <f>"(" &amp; TEXT(Average!C12 - ConfidenceInterval!C12, "0.00") &amp; ", " &amp; TEXT(Average!C12 + ConfidenceInterval!C12, "0.00") &amp; ")"
</f>
        <v>(0.96, 0.96)</v>
      </c>
      <c r="D12" s="26" t="str">
        <f>"(" &amp; TEXT(Average!D12 - ConfidenceInterval!D12, "0.00") &amp; ", " &amp; TEXT(Average!D12 + ConfidenceInterval!D12, "0.00") &amp; ")"
</f>
        <v>(0.96, 0.96)</v>
      </c>
      <c r="E12" s="26" t="str">
        <f>"(" &amp; TEXT(Average!E12 - ConfidenceInterval!E12, "0.00") &amp; ", " &amp; TEXT(Average!E12 + ConfidenceInterval!E12, "0.00") &amp; ")"
</f>
        <v>(0.96, 0.96)</v>
      </c>
      <c r="F12" s="26" t="str">
        <f>"(" &amp; TEXT(Average!F12 - ConfidenceInterval!F12, "0.00") &amp; ", " &amp; TEXT(Average!F12 + ConfidenceInterval!F12, "0.00") &amp; ")"
</f>
        <v>(0.55, 1.12)</v>
      </c>
      <c r="G12" s="26" t="str">
        <f>"(" &amp; TEXT(Average!G12 - ConfidenceInterval!G12, "0.00") &amp; ", " &amp; TEXT(Average!G12 + ConfidenceInterval!G12, "0.00") &amp; ")"
</f>
        <v>(0.42, 0.85)</v>
      </c>
      <c r="H12" s="26" t="str">
        <f>"(" &amp; TEXT(Average!H12 - ConfidenceInterval!H12, "0.00") &amp; ", " &amp; TEXT(Average!H12 + ConfidenceInterval!H12, "0.00") &amp; ")"
</f>
        <v>(0.97, 0.97)</v>
      </c>
      <c r="I12" s="26" t="str">
        <f>"(" &amp; TEXT(Average!I12 - ConfidenceInterval!I12, "0.00") &amp; ", " &amp; TEXT(Average!I12 + ConfidenceInterval!I12, "0.00") &amp; ")"
</f>
        <v>(0.96, 0.96)</v>
      </c>
      <c r="J12" s="26" t="str">
        <f>"(" &amp; TEXT(Average!J12 - ConfidenceInterval!J12, "0.00") &amp; ", " &amp; TEXT(Average!J12 + ConfidenceInterval!J12, "0.00") &amp; ")"
</f>
        <v>(0.95, 0.95)</v>
      </c>
      <c r="K12" s="27" t="str">
        <f>"(" &amp; TEXT(Average!K12 - ConfidenceInterval!K12, "0.00") &amp; ", " &amp; TEXT(Average!K12 + ConfidenceInterval!K12, "0.00") &amp; ")"
</f>
        <v>(0.92, 0.93)</v>
      </c>
    </row>
    <row r="13">
      <c r="A13" s="14" t="s">
        <v>22</v>
      </c>
      <c r="B13" s="30" t="str">
        <f>"(" &amp; TEXT(Average!B13 - ConfidenceInterval!B13, "0.00") &amp; ", " &amp; TEXT(Average!B13 + ConfidenceInterval!B13, "0.00") &amp; ")"
</f>
        <v>(0.99, 0.99)</v>
      </c>
      <c r="C13" s="30" t="str">
        <f>"(" &amp; TEXT(Average!C13 - ConfidenceInterval!C13, "0.00") &amp; ", " &amp; TEXT(Average!C13 + ConfidenceInterval!C13, "0.00") &amp; ")"
</f>
        <v>(0.99, 0.99)</v>
      </c>
      <c r="D13" s="30" t="str">
        <f>"(" &amp; TEXT(Average!D13 - ConfidenceInterval!D13, "0.00") &amp; ", " &amp; TEXT(Average!D13 + ConfidenceInterval!D13, "0.00") &amp; ")"
</f>
        <v>(0.99, 0.99)</v>
      </c>
      <c r="E13" s="30" t="str">
        <f>"(" &amp; TEXT(Average!E13 - ConfidenceInterval!E13, "0.00") &amp; ", " &amp; TEXT(Average!E13 + ConfidenceInterval!E13, "0.00") &amp; ")"
</f>
        <v>(0.99, 0.99)</v>
      </c>
      <c r="F13" s="30" t="str">
        <f>"(" &amp; TEXT(Average!F13 - ConfidenceInterval!F13, "0.00") &amp; ", " &amp; TEXT(Average!F13 + ConfidenceInterval!F13, "0.00") &amp; ")"
</f>
        <v>(0.81, 1.07)</v>
      </c>
      <c r="G13" s="30" t="str">
        <f>"(" &amp; TEXT(Average!G13 - ConfidenceInterval!G13, "0.00") &amp; ", " &amp; TEXT(Average!G13 + ConfidenceInterval!G13, "0.00") &amp; ")"
</f>
        <v>(0.62, 0.82)</v>
      </c>
      <c r="H13" s="30" t="str">
        <f>"(" &amp; TEXT(Average!H13 - ConfidenceInterval!H13, "0.00") &amp; ", " &amp; TEXT(Average!H13 + ConfidenceInterval!H13, "0.00") &amp; ")"
</f>
        <v>(0.99, 0.99)</v>
      </c>
      <c r="I13" s="30" t="str">
        <f>"(" &amp; TEXT(Average!I13 - ConfidenceInterval!I13, "0.00") &amp; ", " &amp; TEXT(Average!I13 + ConfidenceInterval!I13, "0.00") &amp; ")"
</f>
        <v>(0.99, 0.99)</v>
      </c>
      <c r="J13" s="30" t="str">
        <f>"(" &amp; TEXT(Average!J13 - ConfidenceInterval!J13, "0.00") &amp; ", " &amp; TEXT(Average!J13 + ConfidenceInterval!J13, "0.00") &amp; ")"
</f>
        <v>(0.99, 0.99)</v>
      </c>
      <c r="K13" s="31" t="str">
        <f>"(" &amp; TEXT(Average!K13 - ConfidenceInterval!K13, "0.00") &amp; ", " &amp; TEXT(Average!K13 + ConfidenceInterval!K13, "0.00") &amp; ")"
</f>
        <v>(0.98, 0.98)</v>
      </c>
    </row>
  </sheetData>
  <dataValidations>
    <dataValidation allowBlank="1" showDropDown="1" sqref="B2:K13"/>
  </dataValidation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9.38"/>
    <col customWidth="1" min="3" max="3" width="23.13"/>
    <col customWidth="1" min="4" max="4" width="21.38"/>
    <col customWidth="1" min="5" max="5" width="22.38"/>
  </cols>
  <sheetData>
    <row r="1" ht="68.25" customHeight="1">
      <c r="A1" s="1" t="s">
        <v>0</v>
      </c>
      <c r="B1" s="32" t="s">
        <v>23</v>
      </c>
      <c r="C1" s="32" t="s">
        <v>24</v>
      </c>
      <c r="D1" s="32" t="s">
        <v>25</v>
      </c>
      <c r="E1" s="33" t="s">
        <v>26</v>
      </c>
    </row>
    <row r="2">
      <c r="A2" s="4" t="s">
        <v>18</v>
      </c>
      <c r="B2" s="6">
        <f t="array" ref="B2">_xlfn.T.TEST({Trial1!B9, Trial2!B9, Trial3!B9}, {Trial1!C9, Trial2!C9, Trial3!C9}, 2, 1)
</f>
        <v>0.01405926827</v>
      </c>
      <c r="C2" s="6">
        <f t="array" ref="C2">_xlfn.T.TEST({Trial1!D9, Trial2!D9, Trial3!D9}, {Trial1!E9, Trial2!E9, Trial3!E9}, 2, 1)
</f>
        <v>0.1184093509</v>
      </c>
      <c r="D2" s="6">
        <f t="array" ref="D2">_xlfn.T.TEST({Trial1!F9, Trial2!F9, Trial3!F9}, {Trial1!G9, Trial2!G9, Trial3!G9}, 2, 1)
</f>
        <v>0.1456348475</v>
      </c>
      <c r="E2" s="19">
        <f t="array" ref="E2">_xlfn.T.TEST({Trial1!H9, Trial2!H9, Trial3!H9}, {Trial1!I9, Trial2!I9, Trial3!I9}, 2, 1)
</f>
        <v>0.00009210685177</v>
      </c>
    </row>
    <row r="3">
      <c r="A3" s="8" t="s">
        <v>19</v>
      </c>
      <c r="B3" s="10">
        <f t="array" ref="B3">_xlfn.T.TEST({Trial1!B10, Trial2!B10, Trial3!B10}, {Trial1!C10, Trial2!C10, Trial3!C10}, 2, 1)
</f>
        <v>0.01232848156</v>
      </c>
      <c r="C3" s="10">
        <f t="array" ref="C3">_xlfn.T.TEST({Trial1!D10, Trial2!D10, Trial3!D10}, {Trial1!E10, Trial2!E10, Trial3!E10}, 2, 1)
</f>
        <v>0.1184093509</v>
      </c>
      <c r="D3" s="10">
        <f t="array" ref="D3">_xlfn.T.TEST({Trial1!F10, Trial2!F10, Trial3!F10}, {Trial1!G10, Trial2!G10, Trial3!G10}, 2, 1)
</f>
        <v>0.06661653515</v>
      </c>
      <c r="E3" s="21">
        <f t="array" ref="E3">_xlfn.T.TEST({Trial1!H10, Trial2!H10, Trial3!H10}, {Trial1!I10, Trial2!I10, Trial3!I10}, 2, 1)
</f>
        <v>0.00009234283911</v>
      </c>
    </row>
    <row r="4">
      <c r="A4" s="4" t="s">
        <v>20</v>
      </c>
      <c r="B4" s="6">
        <f t="array" ref="B4">_xlfn.T.TEST({Trial1!B11, Trial2!B11, Trial3!B11}, {Trial1!C11, Trial2!C11, Trial3!C11}, 2, 1)
</f>
        <v>0.01405926827</v>
      </c>
      <c r="C4" s="6">
        <f t="array" ref="C4">_xlfn.T.TEST({Trial1!D11, Trial2!D11, Trial3!D11}, {Trial1!E11, Trial2!E11, Trial3!E11}, 2, 1)
</f>
        <v>0.1184093509</v>
      </c>
      <c r="D4" s="6">
        <f t="array" ref="D4">_xlfn.T.TEST({Trial1!F11, Trial2!F11, Trial3!F11}, {Trial1!G11, Trial2!G11, Trial3!G11}, 2, 1)
</f>
        <v>0.1456348475</v>
      </c>
      <c r="E4" s="19">
        <f t="array" ref="E4">_xlfn.T.TEST({Trial1!H11, Trial2!H11, Trial3!H11}, {Trial1!I11, Trial2!I11, Trial3!I11}, 2, 1)
</f>
        <v>0.00009210685177</v>
      </c>
    </row>
    <row r="5">
      <c r="A5" s="8" t="s">
        <v>21</v>
      </c>
      <c r="B5" s="10">
        <f t="array" ref="B5">_xlfn.T.TEST({Trial1!B12, Trial2!B12, Trial3!B12}, {Trial1!C12, Trial2!C12, Trial3!C12}, 2, 1)
</f>
        <v>0.01372133284</v>
      </c>
      <c r="C5" s="10">
        <f t="array" ref="C5">_xlfn.T.TEST({Trial1!D12, Trial2!D12, Trial3!D12}, {Trial1!E12, Trial2!E12, Trial3!E12}, 2, 1)
</f>
        <v>0.1090463258</v>
      </c>
      <c r="D5" s="10">
        <f t="array" ref="D5">_xlfn.T.TEST({Trial1!F12, Trial2!F12, Trial3!F12}, {Trial1!G12, Trial2!G12, Trial3!G12}, 2, 1)
</f>
        <v>0.2232963912</v>
      </c>
      <c r="E5" s="21">
        <f t="array" ref="E5">_xlfn.T.TEST({Trial1!H12, Trial2!H12, Trial3!H12}, {Trial1!I12, Trial2!I12, Trial3!I12}, 2, 1)
</f>
        <v>0.00009210685177</v>
      </c>
    </row>
    <row r="6">
      <c r="A6" s="34" t="s">
        <v>22</v>
      </c>
      <c r="B6" s="35">
        <f t="array" ref="B6">_xlfn.T.TEST({Trial1!B13, Trial2!B13, Trial3!B13}, {Trial1!C13, Trial2!C13, Trial3!C13}, 2, 1)
</f>
        <v>0.02595218054</v>
      </c>
      <c r="C6" s="35">
        <f t="array" ref="C6">_xlfn.T.TEST({Trial1!D13, Trial2!D13, Trial3!D13}, {Trial1!E13, Trial2!E13, Trial3!E13}, 2, 1)
</f>
        <v>0.753817018</v>
      </c>
      <c r="D6" s="35">
        <f t="array" ref="D6">_xlfn.T.TEST({Trial1!F13, Trial2!F13, Trial3!F13}, {Trial1!G13, Trial2!G13, Trial3!G13}, 2, 1)
</f>
        <v>0.05633413343</v>
      </c>
      <c r="E6" s="36">
        <f t="array" ref="E6">_xlfn.T.TEST({Trial1!H13, Trial2!H13, Trial3!H13}, {Trial1!I13, Trial2!I13, Trial3!I13}, 2, 1)
</f>
        <v>0.0003901198683</v>
      </c>
    </row>
  </sheetData>
  <dataValidations>
    <dataValidation type="custom" allowBlank="1" showDropDown="1" sqref="B2:E6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