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F6E45DC8-0C70-4841-95EC-78C2B660470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2016" sheetId="2" r:id="rId1"/>
  </sheets>
  <calcPr calcId="191029"/>
</workbook>
</file>

<file path=xl/calcChain.xml><?xml version="1.0" encoding="utf-8"?>
<calcChain xmlns="http://schemas.openxmlformats.org/spreadsheetml/2006/main">
  <c r="I14" i="2" l="1"/>
  <c r="D2" i="2"/>
  <c r="D3" i="2"/>
  <c r="I2" i="2"/>
  <c r="F3" i="2"/>
  <c r="L3" i="2"/>
  <c r="J3" i="2"/>
  <c r="K2" i="2"/>
  <c r="L4" i="2"/>
  <c r="L5" i="2"/>
  <c r="L6" i="2"/>
  <c r="L7" i="2"/>
  <c r="L8" i="2"/>
  <c r="L9" i="2"/>
  <c r="L10" i="2"/>
  <c r="L11" i="2"/>
  <c r="L12" i="2"/>
  <c r="L13" i="2"/>
  <c r="L14" i="2"/>
  <c r="L2" i="2"/>
  <c r="J5" i="2"/>
  <c r="K3" i="2"/>
  <c r="K4" i="2"/>
  <c r="K5" i="2"/>
  <c r="K6" i="2"/>
  <c r="K7" i="2"/>
  <c r="K8" i="2"/>
  <c r="K9" i="2"/>
  <c r="K10" i="2"/>
  <c r="K11" i="2"/>
  <c r="K12" i="2"/>
  <c r="K13" i="2"/>
  <c r="K14" i="2"/>
  <c r="G14" i="2"/>
  <c r="G3" i="2"/>
  <c r="G7" i="2"/>
  <c r="G6" i="2"/>
  <c r="G11" i="2"/>
  <c r="F11" i="2"/>
  <c r="I11" i="2"/>
  <c r="J11" i="2" s="1"/>
  <c r="G9" i="2"/>
  <c r="G4" i="2"/>
  <c r="G5" i="2"/>
  <c r="G12" i="2"/>
  <c r="F9" i="2"/>
  <c r="G8" i="2"/>
  <c r="G10" i="2"/>
  <c r="F14" i="2"/>
  <c r="J14" i="2"/>
  <c r="I9" i="2"/>
  <c r="J9" i="2" s="1"/>
  <c r="F7" i="2"/>
  <c r="F6" i="2"/>
  <c r="F5" i="2"/>
  <c r="F4" i="2"/>
  <c r="I4" i="2"/>
  <c r="J4" i="2" s="1"/>
  <c r="I5" i="2"/>
  <c r="E6" i="2"/>
  <c r="I6" i="2" s="1"/>
  <c r="J6" i="2" s="1"/>
  <c r="E7" i="2"/>
  <c r="E11" i="2"/>
  <c r="J2" i="2"/>
  <c r="I7" i="2"/>
  <c r="J7" i="2" s="1"/>
  <c r="I8" i="2"/>
  <c r="J8" i="2" s="1"/>
  <c r="I10" i="2"/>
  <c r="J10" i="2" s="1"/>
  <c r="I12" i="2"/>
  <c r="J12" i="2" s="1"/>
  <c r="D14" i="2"/>
  <c r="D4" i="2"/>
  <c r="D5" i="2"/>
  <c r="D6" i="2"/>
  <c r="D7" i="2"/>
  <c r="D8" i="2"/>
  <c r="D9" i="2"/>
  <c r="D10" i="2"/>
  <c r="D11" i="2"/>
  <c r="D12" i="2"/>
  <c r="D13" i="2"/>
  <c r="I13" i="2" s="1"/>
  <c r="J13" i="2" s="1"/>
  <c r="I3" i="2" l="1"/>
</calcChain>
</file>

<file path=xl/sharedStrings.xml><?xml version="1.0" encoding="utf-8"?>
<sst xmlns="http://schemas.openxmlformats.org/spreadsheetml/2006/main" count="95" uniqueCount="62">
  <si>
    <t>Table</t>
  </si>
  <si>
    <t>fudge factor</t>
  </si>
  <si>
    <t>Tablespace name</t>
  </si>
  <si>
    <t>Growth per half year 
(number of rows)</t>
  </si>
  <si>
    <t>Amount of current information
(number of rows)</t>
  </si>
  <si>
    <t>Est. 1/2 yr. growth 
(bytes)</t>
  </si>
  <si>
    <t>Est. 1/2 year growth
(MB)</t>
  </si>
  <si>
    <t>NEXT extent size 
(MB or KB)</t>
  </si>
  <si>
    <t>INITIAL EXTENT SIZE 
(MB or KB)</t>
  </si>
  <si>
    <t>Est. Table size
(bytes)</t>
  </si>
  <si>
    <t>Est. table size 
(MB)</t>
  </si>
  <si>
    <t>initial row size
(AVG_ROW_LEN)</t>
  </si>
  <si>
    <t>NEXT EXTENT size</t>
  </si>
  <si>
    <t>Tables to place in this tablespace</t>
  </si>
  <si>
    <t>PCTFREE (calculated)</t>
  </si>
  <si>
    <t>PCTFREE (value used)</t>
  </si>
  <si>
    <t>Expansion</t>
  </si>
  <si>
    <t>VM_CAUSE</t>
  </si>
  <si>
    <t>VM_COMMITMENT</t>
  </si>
  <si>
    <t>VM_LOCATION</t>
  </si>
  <si>
    <t>VM_MEMBER</t>
  </si>
  <si>
    <t>VM_MEMCAUSE</t>
  </si>
  <si>
    <t>VM_MEMSKILL</t>
  </si>
  <si>
    <t>VM_OPPORTUNITY</t>
  </si>
  <si>
    <t>VM_OPPSKILL</t>
  </si>
  <si>
    <t>VM_ORGANIZATION</t>
  </si>
  <si>
    <t>VM_ORGCAUSE</t>
  </si>
  <si>
    <t>VM_PERSON</t>
  </si>
  <si>
    <t>VM_SKILL</t>
  </si>
  <si>
    <t>VM_TIMESHEET</t>
  </si>
  <si>
    <t>64KB</t>
  </si>
  <si>
    <t>1MB</t>
  </si>
  <si>
    <t>512KB</t>
  </si>
  <si>
    <t>8MB</t>
  </si>
  <si>
    <t>16MB</t>
  </si>
  <si>
    <t>32MB</t>
  </si>
  <si>
    <t>256MB</t>
  </si>
  <si>
    <t>224MB</t>
  </si>
  <si>
    <t>640MB</t>
  </si>
  <si>
    <t>496MB</t>
  </si>
  <si>
    <t>208MB</t>
  </si>
  <si>
    <t>38MB</t>
  </si>
  <si>
    <t>33MB</t>
  </si>
  <si>
    <t>4800KB</t>
  </si>
  <si>
    <t>10240KB</t>
  </si>
  <si>
    <t>352MB</t>
  </si>
  <si>
    <t>Table size</t>
  </si>
  <si>
    <t>192KB</t>
  </si>
  <si>
    <t>4928KB</t>
  </si>
  <si>
    <t>40MB</t>
  </si>
  <si>
    <t>10MB</t>
  </si>
  <si>
    <t>35MB</t>
  </si>
  <si>
    <t>272MB</t>
  </si>
  <si>
    <t>672MB</t>
  </si>
  <si>
    <t>528MB</t>
  </si>
  <si>
    <t>416MB</t>
  </si>
  <si>
    <t>TBS64KB</t>
  </si>
  <si>
    <t>TBS512KB</t>
  </si>
  <si>
    <t>TBS1MB</t>
  </si>
  <si>
    <t>TBS8MB</t>
  </si>
  <si>
    <t>TBS16MB</t>
  </si>
  <si>
    <t>TBS32MB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</si>
</sst>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3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43" fontId="0" fillId="0" borderId="0" xfId="1" applyNumberFormat="1" applyFont="1"/>
    <xf numFmtId="1" fontId="0" fillId="0" borderId="0" xfId="0" applyNumberFormat="1"/>
    <xf numFmtId="0" fontId="0" fillId="0" borderId="0" xfId="1" applyNumberFormat="1" applyFont="1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workbookViewId="0">
      <selection activeCell="F31" sqref="F31"/>
    </sheetView>
  </sheetViews>
  <sheetFormatPr defaultRowHeight="15" x14ac:dyDescent="0.25"/>
  <cols>
    <col min="1" max="1" width="19.42578125" bestFit="1" customWidth="1"/>
    <col min="2" max="2" width="25" customWidth="1"/>
    <col min="3" max="3" width="30.7109375" bestFit="1" customWidth="1"/>
    <col min="4" max="4" width="18.42578125" customWidth="1"/>
    <col min="5" max="5" width="20.140625" bestFit="1" customWidth="1"/>
    <col min="6" max="6" width="20.85546875" customWidth="1"/>
    <col min="7" max="7" width="19.42578125" style="7" bestFit="1" customWidth="1"/>
    <col min="8" max="8" width="11.7109375" style="7" bestFit="1" customWidth="1"/>
    <col min="9" max="10" width="13.42578125" bestFit="1" customWidth="1"/>
    <col min="11" max="11" width="16.85546875" customWidth="1"/>
    <col min="12" max="12" width="17" customWidth="1"/>
    <col min="13" max="13" width="18.5703125" bestFit="1" customWidth="1"/>
    <col min="14" max="14" width="15.85546875" customWidth="1"/>
    <col min="15" max="15" width="5.5703125" bestFit="1" customWidth="1"/>
    <col min="17" max="17" width="15.140625" bestFit="1" customWidth="1"/>
    <col min="18" max="18" width="12.5703125" bestFit="1" customWidth="1"/>
    <col min="19" max="19" width="27.85546875" customWidth="1"/>
  </cols>
  <sheetData>
    <row r="1" spans="1:14" ht="45" x14ac:dyDescent="0.25">
      <c r="A1" s="1" t="s">
        <v>0</v>
      </c>
      <c r="B1" s="12" t="s">
        <v>11</v>
      </c>
      <c r="C1" s="12" t="s">
        <v>16</v>
      </c>
      <c r="D1" s="1" t="s">
        <v>14</v>
      </c>
      <c r="E1" s="1" t="s">
        <v>15</v>
      </c>
      <c r="F1" s="11" t="s">
        <v>4</v>
      </c>
      <c r="G1" s="10" t="s">
        <v>3</v>
      </c>
      <c r="H1" s="1" t="s">
        <v>1</v>
      </c>
      <c r="I1" s="13" t="s">
        <v>9</v>
      </c>
      <c r="J1" s="12" t="s">
        <v>10</v>
      </c>
      <c r="K1" s="12" t="s">
        <v>5</v>
      </c>
      <c r="L1" s="12" t="s">
        <v>6</v>
      </c>
      <c r="M1" s="12" t="s">
        <v>8</v>
      </c>
      <c r="N1" s="12" t="s">
        <v>7</v>
      </c>
    </row>
    <row r="2" spans="1:14" x14ac:dyDescent="0.25">
      <c r="A2" t="s">
        <v>17</v>
      </c>
      <c r="B2">
        <v>17</v>
      </c>
      <c r="C2" s="2">
        <v>0</v>
      </c>
      <c r="D2" s="4">
        <f>C2/(B2+C2)</f>
        <v>0</v>
      </c>
      <c r="E2" s="2">
        <v>0</v>
      </c>
      <c r="F2" s="2">
        <v>29</v>
      </c>
      <c r="G2" s="2">
        <v>0</v>
      </c>
      <c r="H2" s="2">
        <v>10</v>
      </c>
      <c r="I2" s="5">
        <f>F2*B2*(1+(E2/100))*(1+H2/100)</f>
        <v>542.30000000000007</v>
      </c>
      <c r="J2" s="3">
        <f>I2/1024/1024</f>
        <v>5.1717758178710944E-4</v>
      </c>
      <c r="K2" s="9">
        <f>B2*G2*(1+E2/100)*(1+H2/100)</f>
        <v>0</v>
      </c>
      <c r="L2" s="8">
        <f>K2/1024/1024</f>
        <v>0</v>
      </c>
      <c r="M2" s="4" t="s">
        <v>30</v>
      </c>
      <c r="N2" t="s">
        <v>30</v>
      </c>
    </row>
    <row r="3" spans="1:14" x14ac:dyDescent="0.25">
      <c r="A3" t="s">
        <v>18</v>
      </c>
      <c r="B3">
        <v>45</v>
      </c>
      <c r="C3">
        <v>2</v>
      </c>
      <c r="D3" s="4">
        <f>C3/(B3+C3)</f>
        <v>4.2553191489361701E-2</v>
      </c>
      <c r="E3" s="9">
        <v>5</v>
      </c>
      <c r="F3" s="2">
        <f>103000*40</f>
        <v>4120000</v>
      </c>
      <c r="G3" s="2">
        <f>G8*40</f>
        <v>300000</v>
      </c>
      <c r="H3" s="2">
        <v>10</v>
      </c>
      <c r="I3">
        <f t="shared" ref="I3:I14" si="0">F3*B3*(1+(E3/100))*(1+H3/100)</f>
        <v>214137000.00000003</v>
      </c>
      <c r="J3" s="3">
        <f>I3/1024/1024</f>
        <v>204.21695709228518</v>
      </c>
      <c r="K3" s="9">
        <f t="shared" ref="K3:K14" si="1">B3*G3*(1+E3/100)*(1+H3/100)</f>
        <v>15592500.000000002</v>
      </c>
      <c r="L3" s="8">
        <f>K3/1024/1024</f>
        <v>14.870166778564455</v>
      </c>
      <c r="M3" s="4" t="s">
        <v>37</v>
      </c>
      <c r="N3" t="s">
        <v>34</v>
      </c>
    </row>
    <row r="4" spans="1:14" x14ac:dyDescent="0.25">
      <c r="A4" t="s">
        <v>19</v>
      </c>
      <c r="B4">
        <v>52</v>
      </c>
      <c r="C4">
        <v>8</v>
      </c>
      <c r="D4" s="4">
        <f t="shared" ref="D3:D14" si="2">C4/(B4+C4)</f>
        <v>0.13333333333333333</v>
      </c>
      <c r="E4" s="9">
        <v>15</v>
      </c>
      <c r="F4" s="2">
        <f>10*1000000</f>
        <v>10000000</v>
      </c>
      <c r="G4" s="2">
        <f>400000/2</f>
        <v>200000</v>
      </c>
      <c r="H4" s="2">
        <v>10</v>
      </c>
      <c r="I4">
        <f t="shared" si="0"/>
        <v>657800000</v>
      </c>
      <c r="J4" s="3">
        <f t="shared" ref="J3:J14" si="3">I4/1024/1024</f>
        <v>627.32696533203125</v>
      </c>
      <c r="K4" s="9">
        <f t="shared" si="1"/>
        <v>13156000.000000002</v>
      </c>
      <c r="L4" s="8">
        <f>K4/1024/1024</f>
        <v>12.546539306640627</v>
      </c>
      <c r="M4" s="4" t="s">
        <v>38</v>
      </c>
      <c r="N4" t="s">
        <v>34</v>
      </c>
    </row>
    <row r="5" spans="1:14" x14ac:dyDescent="0.25">
      <c r="A5" t="s">
        <v>20</v>
      </c>
      <c r="B5">
        <v>16</v>
      </c>
      <c r="C5">
        <v>2</v>
      </c>
      <c r="D5" s="4">
        <f t="shared" si="2"/>
        <v>0.1111111111111111</v>
      </c>
      <c r="E5" s="9">
        <v>15</v>
      </c>
      <c r="F5" s="2">
        <f>13*1000000+(200000*20%)</f>
        <v>13040000</v>
      </c>
      <c r="G5" s="2">
        <f>(G12*20%)+(600000/2)</f>
        <v>302000</v>
      </c>
      <c r="H5" s="2">
        <v>10</v>
      </c>
      <c r="I5">
        <f t="shared" si="0"/>
        <v>263929600</v>
      </c>
      <c r="J5" s="3">
        <f>I5/1024/1024</f>
        <v>251.702880859375</v>
      </c>
      <c r="K5" s="9">
        <f t="shared" si="1"/>
        <v>6112480.0000000009</v>
      </c>
      <c r="L5" s="8">
        <f t="shared" ref="L4:L14" si="4">K5/1024/1024</f>
        <v>5.8293151855468759</v>
      </c>
      <c r="M5" s="4" t="s">
        <v>36</v>
      </c>
      <c r="N5" t="s">
        <v>33</v>
      </c>
    </row>
    <row r="6" spans="1:14" x14ac:dyDescent="0.25">
      <c r="A6" t="s">
        <v>21</v>
      </c>
      <c r="B6">
        <v>18</v>
      </c>
      <c r="D6" s="4">
        <f t="shared" si="2"/>
        <v>0</v>
      </c>
      <c r="E6" s="9">
        <f t="shared" ref="E3:E14" si="5">D6*100</f>
        <v>0</v>
      </c>
      <c r="F6" s="2">
        <f>F5*2</f>
        <v>26080000</v>
      </c>
      <c r="G6" s="2">
        <f>G5*2</f>
        <v>604000</v>
      </c>
      <c r="H6" s="2">
        <v>10</v>
      </c>
      <c r="I6">
        <f t="shared" si="0"/>
        <v>516384000.00000006</v>
      </c>
      <c r="J6" s="3">
        <f t="shared" si="3"/>
        <v>492.46215820312506</v>
      </c>
      <c r="K6" s="9">
        <f t="shared" si="1"/>
        <v>11959200.000000002</v>
      </c>
      <c r="L6" s="8">
        <f t="shared" si="4"/>
        <v>11.405181884765627</v>
      </c>
      <c r="M6" s="4" t="s">
        <v>39</v>
      </c>
      <c r="N6" t="s">
        <v>34</v>
      </c>
    </row>
    <row r="7" spans="1:14" x14ac:dyDescent="0.25">
      <c r="A7" t="s">
        <v>22</v>
      </c>
      <c r="B7">
        <v>15</v>
      </c>
      <c r="D7" s="4">
        <f t="shared" si="2"/>
        <v>0</v>
      </c>
      <c r="E7" s="9">
        <f t="shared" si="5"/>
        <v>0</v>
      </c>
      <c r="F7" s="2">
        <f>F5*1</f>
        <v>13040000</v>
      </c>
      <c r="G7" s="2">
        <f>G5</f>
        <v>302000</v>
      </c>
      <c r="H7" s="2">
        <v>10</v>
      </c>
      <c r="I7">
        <f t="shared" si="0"/>
        <v>215160000.00000003</v>
      </c>
      <c r="J7" s="3">
        <f t="shared" si="3"/>
        <v>205.19256591796878</v>
      </c>
      <c r="K7" s="9">
        <f t="shared" si="1"/>
        <v>4983000</v>
      </c>
      <c r="L7" s="8">
        <f t="shared" si="4"/>
        <v>4.7521591186523438</v>
      </c>
      <c r="M7" s="4" t="s">
        <v>40</v>
      </c>
      <c r="N7" t="s">
        <v>33</v>
      </c>
    </row>
    <row r="8" spans="1:14" x14ac:dyDescent="0.25">
      <c r="A8" t="s">
        <v>23</v>
      </c>
      <c r="B8">
        <v>112</v>
      </c>
      <c r="C8">
        <v>1</v>
      </c>
      <c r="D8" s="4">
        <f t="shared" si="2"/>
        <v>8.8495575221238937E-3</v>
      </c>
      <c r="E8" s="9">
        <v>5</v>
      </c>
      <c r="F8" s="2">
        <v>300000</v>
      </c>
      <c r="G8" s="2">
        <f>15000/2</f>
        <v>7500</v>
      </c>
      <c r="H8" s="2">
        <v>10</v>
      </c>
      <c r="I8">
        <f t="shared" si="0"/>
        <v>38808000</v>
      </c>
      <c r="J8" s="3">
        <f t="shared" si="3"/>
        <v>37.01019287109375</v>
      </c>
      <c r="K8" s="9">
        <f t="shared" si="1"/>
        <v>970200.00000000012</v>
      </c>
      <c r="L8" s="8">
        <f t="shared" si="4"/>
        <v>0.92525482177734386</v>
      </c>
      <c r="M8" s="4" t="s">
        <v>41</v>
      </c>
      <c r="N8" t="s">
        <v>31</v>
      </c>
    </row>
    <row r="9" spans="1:14" x14ac:dyDescent="0.25">
      <c r="A9" t="s">
        <v>24</v>
      </c>
      <c r="B9">
        <v>20</v>
      </c>
      <c r="C9">
        <v>2</v>
      </c>
      <c r="D9" s="4">
        <f t="shared" si="2"/>
        <v>9.0909090909090912E-2</v>
      </c>
      <c r="E9" s="9">
        <v>10</v>
      </c>
      <c r="F9" s="2">
        <f>103000*3</f>
        <v>309000</v>
      </c>
      <c r="G9" s="2">
        <f>G8*3</f>
        <v>22500</v>
      </c>
      <c r="H9" s="2">
        <v>10</v>
      </c>
      <c r="I9">
        <f t="shared" si="0"/>
        <v>7477800.0000000019</v>
      </c>
      <c r="J9" s="3">
        <f t="shared" si="3"/>
        <v>7.131385803222658</v>
      </c>
      <c r="K9" s="9">
        <f t="shared" si="1"/>
        <v>544500.00000000012</v>
      </c>
      <c r="L9" s="8">
        <f t="shared" si="4"/>
        <v>0.51927566528320324</v>
      </c>
      <c r="M9" s="4" t="s">
        <v>33</v>
      </c>
      <c r="N9" t="s">
        <v>31</v>
      </c>
    </row>
    <row r="10" spans="1:14" x14ac:dyDescent="0.25">
      <c r="A10" t="s">
        <v>25</v>
      </c>
      <c r="B10">
        <v>251</v>
      </c>
      <c r="C10">
        <v>1</v>
      </c>
      <c r="D10" s="4">
        <f t="shared" si="2"/>
        <v>3.968253968253968E-3</v>
      </c>
      <c r="E10" s="9">
        <v>5</v>
      </c>
      <c r="F10" s="2">
        <v>117000</v>
      </c>
      <c r="G10" s="6">
        <f>5000/2</f>
        <v>2500</v>
      </c>
      <c r="H10" s="2">
        <v>10</v>
      </c>
      <c r="I10">
        <f t="shared" si="0"/>
        <v>33918885</v>
      </c>
      <c r="J10" s="3">
        <f t="shared" si="3"/>
        <v>32.347569465637207</v>
      </c>
      <c r="K10" s="9">
        <f t="shared" si="1"/>
        <v>724762.50000000012</v>
      </c>
      <c r="L10" s="8">
        <f t="shared" si="4"/>
        <v>0.69118738174438488</v>
      </c>
      <c r="M10" s="4" t="s">
        <v>42</v>
      </c>
      <c r="N10" t="s">
        <v>31</v>
      </c>
    </row>
    <row r="11" spans="1:14" x14ac:dyDescent="0.25">
      <c r="A11" t="s">
        <v>26</v>
      </c>
      <c r="B11">
        <v>19</v>
      </c>
      <c r="D11" s="4">
        <f t="shared" si="2"/>
        <v>0</v>
      </c>
      <c r="E11" s="9">
        <f t="shared" si="5"/>
        <v>0</v>
      </c>
      <c r="F11" s="2">
        <f>F10*2</f>
        <v>234000</v>
      </c>
      <c r="G11" s="6">
        <f>G10*2</f>
        <v>5000</v>
      </c>
      <c r="H11" s="2">
        <v>10</v>
      </c>
      <c r="I11">
        <f t="shared" si="0"/>
        <v>4890600</v>
      </c>
      <c r="J11" s="3">
        <f t="shared" si="3"/>
        <v>4.6640396118164063</v>
      </c>
      <c r="K11" s="9">
        <f t="shared" si="1"/>
        <v>104500.00000000001</v>
      </c>
      <c r="L11" s="8">
        <f t="shared" si="4"/>
        <v>9.9658966064453139E-2</v>
      </c>
      <c r="M11" s="4" t="s">
        <v>43</v>
      </c>
      <c r="N11" t="s">
        <v>30</v>
      </c>
    </row>
    <row r="12" spans="1:14" x14ac:dyDescent="0.25">
      <c r="A12" t="s">
        <v>27</v>
      </c>
      <c r="B12">
        <v>45</v>
      </c>
      <c r="C12">
        <v>2</v>
      </c>
      <c r="D12" s="4">
        <f t="shared" si="2"/>
        <v>4.2553191489361701E-2</v>
      </c>
      <c r="E12" s="9">
        <v>5</v>
      </c>
      <c r="F12" s="2">
        <v>200000</v>
      </c>
      <c r="G12" s="6">
        <f>20000/2</f>
        <v>10000</v>
      </c>
      <c r="H12" s="2">
        <v>10</v>
      </c>
      <c r="I12">
        <f t="shared" si="0"/>
        <v>10395000</v>
      </c>
      <c r="J12" s="3">
        <f t="shared" si="3"/>
        <v>9.9134445190429688</v>
      </c>
      <c r="K12" s="9">
        <f t="shared" si="1"/>
        <v>519750.00000000006</v>
      </c>
      <c r="L12" s="8">
        <f t="shared" si="4"/>
        <v>0.49567222595214849</v>
      </c>
      <c r="M12" s="4" t="s">
        <v>44</v>
      </c>
      <c r="N12" t="s">
        <v>32</v>
      </c>
    </row>
    <row r="13" spans="1:14" x14ac:dyDescent="0.25">
      <c r="A13" t="s">
        <v>28</v>
      </c>
      <c r="B13">
        <v>35</v>
      </c>
      <c r="C13" s="2">
        <v>0</v>
      </c>
      <c r="D13" s="4">
        <f t="shared" si="2"/>
        <v>0</v>
      </c>
      <c r="E13" s="2">
        <v>0</v>
      </c>
      <c r="F13" s="2">
        <v>122</v>
      </c>
      <c r="G13" s="2">
        <v>0</v>
      </c>
      <c r="H13" s="2">
        <v>10</v>
      </c>
      <c r="I13">
        <f t="shared" si="0"/>
        <v>4697</v>
      </c>
      <c r="J13" s="3">
        <f t="shared" si="3"/>
        <v>4.4794082641601563E-3</v>
      </c>
      <c r="K13" s="9">
        <f t="shared" si="1"/>
        <v>0</v>
      </c>
      <c r="L13" s="8">
        <f t="shared" si="4"/>
        <v>0</v>
      </c>
      <c r="M13" s="4" t="s">
        <v>30</v>
      </c>
      <c r="N13" t="s">
        <v>30</v>
      </c>
    </row>
    <row r="14" spans="1:14" x14ac:dyDescent="0.25">
      <c r="A14" t="s">
        <v>29</v>
      </c>
      <c r="B14">
        <v>35</v>
      </c>
      <c r="C14">
        <v>3</v>
      </c>
      <c r="D14" s="4">
        <f>C14/(B14+C14)</f>
        <v>7.8947368421052627E-2</v>
      </c>
      <c r="E14" s="9">
        <v>10</v>
      </c>
      <c r="F14" s="5">
        <f>F3*2</f>
        <v>8240000</v>
      </c>
      <c r="G14" s="5">
        <f>G3*2</f>
        <v>600000</v>
      </c>
      <c r="H14" s="2">
        <v>10</v>
      </c>
      <c r="I14">
        <f>F14*B14*(1+(E14/100))*(1+H14/100)</f>
        <v>348964000</v>
      </c>
      <c r="J14" s="3">
        <f t="shared" si="3"/>
        <v>332.79800415039063</v>
      </c>
      <c r="K14" s="9">
        <f t="shared" si="1"/>
        <v>25410000.000000007</v>
      </c>
      <c r="L14" s="8">
        <f t="shared" si="4"/>
        <v>24.23286437988282</v>
      </c>
      <c r="M14" s="4" t="s">
        <v>45</v>
      </c>
      <c r="N14" t="s">
        <v>35</v>
      </c>
    </row>
    <row r="15" spans="1:14" x14ac:dyDescent="0.25">
      <c r="J15" s="3"/>
      <c r="K15" s="4"/>
      <c r="L15" s="4"/>
      <c r="M15" s="4"/>
    </row>
    <row r="16" spans="1:14" x14ac:dyDescent="0.25">
      <c r="A16" t="s">
        <v>2</v>
      </c>
      <c r="B16" t="s">
        <v>12</v>
      </c>
      <c r="C16" t="s">
        <v>13</v>
      </c>
      <c r="D16" t="s">
        <v>46</v>
      </c>
      <c r="F16" s="7"/>
      <c r="J16" s="3"/>
      <c r="K16" s="4"/>
      <c r="L16" s="4"/>
      <c r="M16" s="4"/>
    </row>
    <row r="17" spans="1:13" x14ac:dyDescent="0.25">
      <c r="A17" t="s">
        <v>56</v>
      </c>
      <c r="B17" t="s">
        <v>30</v>
      </c>
      <c r="C17" t="s">
        <v>17</v>
      </c>
      <c r="D17" s="4" t="s">
        <v>47</v>
      </c>
      <c r="E17" s="4"/>
      <c r="J17" s="3"/>
      <c r="K17" s="4"/>
      <c r="L17" s="4"/>
      <c r="M17" s="4"/>
    </row>
    <row r="18" spans="1:13" x14ac:dyDescent="0.25">
      <c r="C18" t="s">
        <v>26</v>
      </c>
      <c r="D18" s="4" t="s">
        <v>48</v>
      </c>
      <c r="E18" s="4"/>
      <c r="J18" s="3"/>
      <c r="K18" s="4"/>
      <c r="L18" s="4"/>
      <c r="M18" s="4"/>
    </row>
    <row r="19" spans="1:13" x14ac:dyDescent="0.25">
      <c r="C19" t="s">
        <v>28</v>
      </c>
      <c r="D19" s="4" t="s">
        <v>47</v>
      </c>
      <c r="E19" s="4"/>
      <c r="J19" s="3"/>
      <c r="K19" s="4"/>
      <c r="L19" s="4"/>
      <c r="M19" s="4"/>
    </row>
    <row r="20" spans="1:13" x14ac:dyDescent="0.25">
      <c r="A20" t="s">
        <v>57</v>
      </c>
      <c r="B20" t="s">
        <v>32</v>
      </c>
      <c r="C20" t="s">
        <v>27</v>
      </c>
      <c r="D20" s="4" t="s">
        <v>48</v>
      </c>
      <c r="E20" s="4"/>
    </row>
    <row r="21" spans="1:13" x14ac:dyDescent="0.25">
      <c r="A21" t="s">
        <v>58</v>
      </c>
      <c r="B21" t="s">
        <v>31</v>
      </c>
      <c r="C21" t="s">
        <v>23</v>
      </c>
      <c r="D21" s="4" t="s">
        <v>49</v>
      </c>
      <c r="E21" s="4"/>
    </row>
    <row r="22" spans="1:13" x14ac:dyDescent="0.25">
      <c r="C22" t="s">
        <v>24</v>
      </c>
      <c r="D22" s="4" t="s">
        <v>50</v>
      </c>
      <c r="E22" s="4"/>
    </row>
    <row r="23" spans="1:13" x14ac:dyDescent="0.25">
      <c r="C23" t="s">
        <v>25</v>
      </c>
      <c r="D23" s="4" t="s">
        <v>51</v>
      </c>
      <c r="E23" s="4"/>
    </row>
    <row r="24" spans="1:13" x14ac:dyDescent="0.25">
      <c r="A24" t="s">
        <v>59</v>
      </c>
      <c r="B24" t="s">
        <v>33</v>
      </c>
      <c r="C24" t="s">
        <v>20</v>
      </c>
      <c r="D24" s="4" t="s">
        <v>52</v>
      </c>
      <c r="E24" s="4"/>
    </row>
    <row r="25" spans="1:13" x14ac:dyDescent="0.25">
      <c r="C25" t="s">
        <v>22</v>
      </c>
      <c r="D25" s="4" t="s">
        <v>37</v>
      </c>
    </row>
    <row r="26" spans="1:13" x14ac:dyDescent="0.25">
      <c r="A26" t="s">
        <v>60</v>
      </c>
      <c r="B26" t="s">
        <v>34</v>
      </c>
      <c r="C26" t="s">
        <v>18</v>
      </c>
      <c r="D26" s="4" t="s">
        <v>36</v>
      </c>
    </row>
    <row r="27" spans="1:13" x14ac:dyDescent="0.25">
      <c r="C27" t="s">
        <v>19</v>
      </c>
      <c r="D27" s="4" t="s">
        <v>53</v>
      </c>
      <c r="G27" s="4"/>
      <c r="H27" s="4"/>
    </row>
    <row r="28" spans="1:13" x14ac:dyDescent="0.25">
      <c r="C28" t="s">
        <v>21</v>
      </c>
      <c r="D28" s="4" t="s">
        <v>54</v>
      </c>
      <c r="G28" s="4"/>
      <c r="H28" s="4"/>
    </row>
    <row r="29" spans="1:13" x14ac:dyDescent="0.25">
      <c r="A29" t="s">
        <v>61</v>
      </c>
      <c r="B29" t="s">
        <v>35</v>
      </c>
      <c r="C29" t="s">
        <v>29</v>
      </c>
      <c r="D29" s="4" t="s">
        <v>55</v>
      </c>
      <c r="G29" s="4"/>
      <c r="H29" s="4"/>
    </row>
    <row r="30" spans="1:13" x14ac:dyDescent="0.25">
      <c r="G30" s="4"/>
      <c r="H30" s="4"/>
    </row>
    <row r="31" spans="1:13" x14ac:dyDescent="0.25">
      <c r="G31" s="4"/>
      <c r="H31" s="4"/>
    </row>
    <row r="32" spans="1:13" x14ac:dyDescent="0.25">
      <c r="G32" s="4"/>
      <c r="H32" s="4"/>
    </row>
    <row r="33" spans="7:8" x14ac:dyDescent="0.25">
      <c r="G33" s="4"/>
      <c r="H33" s="4"/>
    </row>
    <row r="34" spans="7:8" x14ac:dyDescent="0.25">
      <c r="G34" s="4"/>
      <c r="H34" s="4"/>
    </row>
    <row r="35" spans="7:8" x14ac:dyDescent="0.25">
      <c r="G35" s="4"/>
      <c r="H35" s="4"/>
    </row>
    <row r="36" spans="7:8" x14ac:dyDescent="0.25">
      <c r="G36" s="4"/>
      <c r="H36" s="4"/>
    </row>
    <row r="37" spans="7:8" x14ac:dyDescent="0.25">
      <c r="G37" s="4"/>
      <c r="H37" s="4"/>
    </row>
    <row r="38" spans="7:8" x14ac:dyDescent="0.25">
      <c r="G38" s="4"/>
      <c r="H38" s="4"/>
    </row>
    <row r="39" spans="7:8" x14ac:dyDescent="0.25">
      <c r="G39" s="4"/>
      <c r="H39" s="4"/>
    </row>
    <row r="40" spans="7:8" x14ac:dyDescent="0.25">
      <c r="G40" s="4"/>
      <c r="H4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2019-04-24T20:09:25Z</dcterms:modified>
</cp:coreProperties>
</file>