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<sst xmlns="http://schemas.openxmlformats.org/spreadsheetml/2006/main" count="71" uniqueCount="53">
  <si>
    <t>ESTOQUE ATUAL</t>
  </si>
  <si>
    <t>Caixa ao final da rodada</t>
  </si>
  <si>
    <t>Rodada 1</t>
  </si>
  <si>
    <t>Rodada 2</t>
  </si>
  <si>
    <t>Rodada 3</t>
  </si>
  <si>
    <t>Rodada 4</t>
  </si>
  <si>
    <t>Rodada 5</t>
  </si>
  <si>
    <t>Rodada 6</t>
  </si>
  <si>
    <t>Rodada 7</t>
  </si>
  <si>
    <t>Rodada 8</t>
  </si>
  <si>
    <t>Rodada 9</t>
  </si>
  <si>
    <t>Produção</t>
  </si>
  <si>
    <t>Hora Extra</t>
  </si>
  <si>
    <t>PeD</t>
  </si>
  <si>
    <t>Módulo Fabril</t>
  </si>
  <si>
    <t>Embalagem</t>
  </si>
  <si>
    <t>Semente</t>
  </si>
  <si>
    <t>Quim A</t>
  </si>
  <si>
    <t>Quim B</t>
  </si>
  <si>
    <t>Manutenção</t>
  </si>
  <si>
    <t>acres. c/ rod. % da rod. 1</t>
  </si>
  <si>
    <t>Estocagem</t>
  </si>
  <si>
    <t>Marketing</t>
  </si>
  <si>
    <t>Comissão</t>
  </si>
  <si>
    <t>Publicidade e Propaganda</t>
  </si>
  <si>
    <t>Frete de entrega</t>
  </si>
  <si>
    <t>RH</t>
  </si>
  <si>
    <t>Salário</t>
  </si>
  <si>
    <t>Treinamento</t>
  </si>
  <si>
    <t>R. Social</t>
  </si>
  <si>
    <t>Benefícios</t>
  </si>
  <si>
    <t>Financeiro</t>
  </si>
  <si>
    <t>Juros</t>
  </si>
  <si>
    <t>Informações</t>
  </si>
  <si>
    <t>Custo Total</t>
  </si>
  <si>
    <t>Produção Prevista</t>
  </si>
  <si>
    <t>Preenchimento obrigatório</t>
  </si>
  <si>
    <t>Custo Unitário</t>
  </si>
  <si>
    <t>Produtividade</t>
  </si>
  <si>
    <t>Produção Real</t>
  </si>
  <si>
    <t>Litros</t>
  </si>
  <si>
    <t>Custo Unitário Industrial</t>
  </si>
  <si>
    <t>Previsão de Venda</t>
  </si>
  <si>
    <t>Otimista</t>
  </si>
  <si>
    <t>Realista</t>
  </si>
  <si>
    <t>Pessimista</t>
  </si>
  <si>
    <t>Custo Unitário Real</t>
  </si>
  <si>
    <t>Preço de Venda</t>
  </si>
  <si>
    <t>essa seleção é apenas uma ideia</t>
  </si>
  <si>
    <t xml:space="preserve">Região a qual queremos vender a maior quantidade de litros </t>
  </si>
  <si>
    <t xml:space="preserve">Região a qual queremos vender a segunda maior quantidade de litros </t>
  </si>
  <si>
    <t>Região a qual queremos apenas atrapalhar os colegas</t>
  </si>
  <si>
    <t>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</si>
</sst>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8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6.0"/>
      <color theme="1"/>
      <name val="Aptos Narrow"/>
    </font>
    <font>
      <sz val="11.0"/>
      <color theme="1"/>
      <name val="Arial"/>
    </font>
    <font>
      <sz val="11.0"/>
      <color rgb="FFFF0000"/>
      <name val="Aptos Narrow"/>
    </font>
    <font>
      <sz val="12.0"/>
      <color rgb="FFFF0000"/>
      <name val="Aptos Narrow"/>
    </font>
    <font>
      <sz val="11.0"/>
      <color theme="0"/>
      <name val="Aptos Narrow"/>
    </font>
  </fonts>
  <fills count="1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45B0E1"/>
        <bgColor rgb="FF45B0E1"/>
      </patternFill>
    </fill>
    <fill>
      <patternFill patternType="solid">
        <fgColor rgb="FFFFFF00"/>
        <bgColor rgb="FFFFFF00"/>
      </patternFill>
    </fill>
    <fill>
      <patternFill patternType="solid">
        <fgColor rgb="FFC1F0C8"/>
        <bgColor rgb="FFC1F0C8"/>
      </patternFill>
    </fill>
    <fill>
      <patternFill patternType="solid">
        <fgColor rgb="FFD8D8D8"/>
        <bgColor rgb="FFD8D8D8"/>
      </patternFill>
    </fill>
    <fill>
      <patternFill patternType="solid">
        <fgColor rgb="FFF1CEEE"/>
        <bgColor rgb="FFF1CEEE"/>
      </patternFill>
    </fill>
    <fill>
      <patternFill patternType="solid">
        <fgColor rgb="FFD76DCC"/>
        <bgColor rgb="FFD76DCC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78206E"/>
        <bgColor rgb="FF78206E"/>
      </patternFill>
    </fill>
  </fills>
  <borders count="40">
    <border/>
    <border>
      <left style="medium">
        <color rgb="FFFF0000"/>
      </left>
      <right style="medium">
        <color rgb="FFFF0000"/>
      </right>
      <top style="medium">
        <color rgb="FFFF0000"/>
      </top>
    </border>
    <border>
      <left style="medium">
        <color rgb="FF92D050"/>
      </left>
      <top style="medium">
        <color rgb="FF92D050"/>
      </top>
    </border>
    <border>
      <top style="medium">
        <color rgb="FF92D050"/>
      </top>
    </border>
    <border>
      <left style="medium">
        <color rgb="FFFF0000"/>
      </left>
      <right style="medium">
        <color rgb="FFFF0000"/>
      </right>
      <top style="medium">
        <color rgb="FF92D050"/>
      </top>
    </border>
    <border>
      <left style="medium">
        <color rgb="FFFF0000"/>
      </left>
      <right style="medium">
        <color rgb="FF92D050"/>
      </right>
      <top style="medium">
        <color rgb="FF92D050"/>
      </top>
    </border>
    <border>
      <left style="medium">
        <color rgb="FF92D050"/>
      </left>
    </border>
    <border>
      <left/>
      <right/>
      <top/>
      <bottom/>
    </border>
    <border>
      <left style="medium">
        <color rgb="FFFF0000"/>
      </left>
      <right style="medium">
        <color rgb="FFFF0000"/>
      </right>
    </border>
    <border>
      <left style="medium">
        <color rgb="FFFF0000"/>
      </left>
      <right style="medium">
        <color rgb="FF92D050"/>
      </right>
    </border>
    <border>
      <left style="medium">
        <color rgb="FF92D050"/>
      </left>
      <bottom style="medium">
        <color rgb="FF92D050"/>
      </bottom>
    </border>
    <border>
      <left/>
      <right/>
      <top/>
      <bottom style="medium">
        <color rgb="FF92D050"/>
      </bottom>
    </border>
    <border>
      <bottom style="medium">
        <color rgb="FF92D050"/>
      </bottom>
    </border>
    <border>
      <left style="medium">
        <color rgb="FFFF0000"/>
      </left>
      <right style="medium">
        <color rgb="FFFF0000"/>
      </right>
      <bottom style="medium">
        <color rgb="FF92D050"/>
      </bottom>
    </border>
    <border>
      <left style="medium">
        <color rgb="FFFF0000"/>
      </left>
      <right style="medium">
        <color rgb="FF92D050"/>
      </right>
      <bottom style="medium">
        <color rgb="FF92D050"/>
      </bottom>
    </border>
    <border>
      <left/>
      <right/>
      <top style="medium">
        <color rgb="FF92D050"/>
      </top>
      <bottom/>
    </border>
    <border>
      <left style="medium">
        <color rgb="FFFF0000"/>
      </left>
      <right style="medium">
        <color rgb="FFFF0000"/>
      </right>
      <top style="medium">
        <color rgb="FF92D050"/>
      </top>
      <bottom/>
    </border>
    <border>
      <left style="medium">
        <color rgb="FFFF0000"/>
      </left>
      <right style="medium">
        <color rgb="FF92D050"/>
      </right>
      <top style="medium">
        <color rgb="FF92D050"/>
      </top>
      <bottom/>
    </border>
    <border>
      <left style="medium">
        <color rgb="FFFF0000"/>
      </left>
      <right style="medium">
        <color rgb="FFFF0000"/>
      </right>
      <top/>
      <bottom/>
    </border>
    <border>
      <left style="medium">
        <color rgb="FFFF0000"/>
      </left>
      <right style="medium">
        <color rgb="FF92D050"/>
      </right>
      <top/>
      <bottom/>
    </border>
    <border>
      <left style="medium">
        <color rgb="FFFF0000"/>
      </left>
      <right style="medium">
        <color rgb="FFFF0000"/>
      </right>
      <top/>
      <bottom style="medium">
        <color rgb="FF92D050"/>
      </bottom>
    </border>
    <border>
      <left style="medium">
        <color rgb="FFFF0000"/>
      </left>
      <right style="medium">
        <color rgb="FF92D050"/>
      </right>
      <top/>
      <bottom style="medium">
        <color rgb="FF92D05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right style="thin">
        <color rgb="FFFF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3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164" xfId="0" applyBorder="1" applyFont="1" applyNumberFormat="1"/>
    <xf borderId="5" fillId="0" fontId="2" numFmtId="164" xfId="0" applyBorder="1" applyFont="1" applyNumberFormat="1"/>
    <xf borderId="6" fillId="0" fontId="2" numFmtId="0" xfId="0" applyBorder="1" applyFont="1"/>
    <xf borderId="7" fillId="2" fontId="2" numFmtId="0" xfId="0" applyBorder="1" applyFill="1" applyFont="1"/>
    <xf borderId="8" fillId="0" fontId="2" numFmtId="164" xfId="0" applyBorder="1" applyFont="1" applyNumberFormat="1"/>
    <xf borderId="9" fillId="0" fontId="2" numFmtId="164" xfId="0" applyBorder="1" applyFont="1" applyNumberFormat="1"/>
    <xf borderId="7" fillId="3" fontId="2" numFmtId="0" xfId="0" applyBorder="1" applyFill="1" applyFont="1"/>
    <xf borderId="8" fillId="0" fontId="4" numFmtId="164" xfId="0" applyAlignment="1" applyBorder="1" applyFont="1" applyNumberFormat="1">
      <alignment readingOrder="0"/>
    </xf>
    <xf borderId="0" fillId="0" fontId="5" numFmtId="0" xfId="0" applyFont="1"/>
    <xf borderId="10" fillId="0" fontId="2" numFmtId="0" xfId="0" applyBorder="1" applyFont="1"/>
    <xf borderId="11" fillId="2" fontId="2" numFmtId="0" xfId="0" applyBorder="1" applyFont="1"/>
    <xf borderId="12" fillId="0" fontId="2" numFmtId="0" xfId="0" applyBorder="1" applyFont="1"/>
    <xf borderId="13" fillId="0" fontId="2" numFmtId="164" xfId="0" applyBorder="1" applyFont="1" applyNumberFormat="1"/>
    <xf borderId="13" fillId="0" fontId="4" numFmtId="164" xfId="0" applyAlignment="1" applyBorder="1" applyFont="1" applyNumberFormat="1">
      <alignment readingOrder="0"/>
    </xf>
    <xf borderId="14" fillId="0" fontId="2" numFmtId="164" xfId="0" applyBorder="1" applyFont="1" applyNumberFormat="1"/>
    <xf borderId="15" fillId="4" fontId="2" numFmtId="0" xfId="0" applyBorder="1" applyFill="1" applyFont="1"/>
    <xf borderId="16" fillId="4" fontId="2" numFmtId="164" xfId="0" applyBorder="1" applyFont="1" applyNumberFormat="1"/>
    <xf borderId="16" fillId="4" fontId="2" numFmtId="164" xfId="0" applyAlignment="1" applyBorder="1" applyFont="1" applyNumberFormat="1">
      <alignment readingOrder="0"/>
    </xf>
    <xf borderId="17" fillId="4" fontId="2" numFmtId="164" xfId="0" applyBorder="1" applyFont="1" applyNumberFormat="1"/>
    <xf borderId="7" fillId="4" fontId="2" numFmtId="0" xfId="0" applyBorder="1" applyFont="1"/>
    <xf borderId="18" fillId="4" fontId="2" numFmtId="164" xfId="0" applyBorder="1" applyFont="1" applyNumberFormat="1"/>
    <xf borderId="18" fillId="4" fontId="4" numFmtId="164" xfId="0" applyAlignment="1" applyBorder="1" applyFont="1" applyNumberFormat="1">
      <alignment readingOrder="0"/>
    </xf>
    <xf borderId="19" fillId="4" fontId="2" numFmtId="164" xfId="0" applyBorder="1" applyFont="1" applyNumberFormat="1"/>
    <xf borderId="11" fillId="4" fontId="2" numFmtId="0" xfId="0" applyBorder="1" applyFont="1"/>
    <xf borderId="20" fillId="4" fontId="2" numFmtId="164" xfId="0" applyBorder="1" applyFont="1" applyNumberFormat="1"/>
    <xf borderId="20" fillId="4" fontId="2" numFmtId="164" xfId="0" applyAlignment="1" applyBorder="1" applyFont="1" applyNumberFormat="1">
      <alignment shrinkToFit="0" wrapText="1"/>
    </xf>
    <xf borderId="20" fillId="4" fontId="4" numFmtId="164" xfId="0" applyAlignment="1" applyBorder="1" applyFont="1" applyNumberFormat="1">
      <alignment readingOrder="0"/>
    </xf>
    <xf borderId="21" fillId="4" fontId="2" numFmtId="164" xfId="0" applyBorder="1" applyFont="1" applyNumberFormat="1"/>
    <xf borderId="15" fillId="2" fontId="2" numFmtId="0" xfId="0" applyBorder="1" applyFont="1"/>
    <xf borderId="4" fillId="0" fontId="4" numFmtId="164" xfId="0" applyAlignment="1" applyBorder="1" applyFont="1" applyNumberFormat="1">
      <alignment readingOrder="0"/>
    </xf>
    <xf borderId="22" fillId="5" fontId="2" numFmtId="164" xfId="0" applyBorder="1" applyFill="1" applyFont="1" applyNumberFormat="1"/>
    <xf borderId="23" fillId="5" fontId="2" numFmtId="164" xfId="0" applyBorder="1" applyFont="1" applyNumberFormat="1"/>
    <xf borderId="24" fillId="5" fontId="2" numFmtId="164" xfId="0" applyBorder="1" applyFont="1" applyNumberFormat="1"/>
    <xf borderId="25" fillId="6" fontId="2" numFmtId="0" xfId="0" applyBorder="1" applyFill="1" applyFont="1"/>
    <xf borderId="26" fillId="6" fontId="2" numFmtId="0" xfId="0" applyBorder="1" applyFont="1"/>
    <xf borderId="27" fillId="6" fontId="2" numFmtId="0" xfId="0" applyBorder="1" applyFont="1"/>
    <xf borderId="25" fillId="7" fontId="2" numFmtId="164" xfId="0" applyBorder="1" applyFill="1" applyFont="1" applyNumberFormat="1"/>
    <xf borderId="0" fillId="0" fontId="2" numFmtId="9" xfId="0" applyFont="1" applyNumberFormat="1"/>
    <xf borderId="28" fillId="6" fontId="2" numFmtId="9" xfId="0" applyBorder="1" applyFont="1" applyNumberFormat="1"/>
    <xf borderId="26" fillId="6" fontId="2" numFmtId="9" xfId="0" applyBorder="1" applyFont="1" applyNumberFormat="1"/>
    <xf borderId="26" fillId="6" fontId="4" numFmtId="9" xfId="0" applyAlignment="1" applyBorder="1" applyFont="1" applyNumberFormat="1">
      <alignment readingOrder="0"/>
    </xf>
    <xf borderId="27" fillId="6" fontId="2" numFmtId="9" xfId="0" applyBorder="1" applyFont="1" applyNumberFormat="1"/>
    <xf borderId="0" fillId="0" fontId="6" numFmtId="0" xfId="0" applyFont="1"/>
    <xf borderId="0" fillId="0" fontId="2" numFmtId="2" xfId="0" applyFont="1" applyNumberFormat="1"/>
    <xf borderId="29" fillId="8" fontId="2" numFmtId="164" xfId="0" applyBorder="1" applyFill="1" applyFont="1" applyNumberFormat="1"/>
    <xf borderId="30" fillId="8" fontId="2" numFmtId="164" xfId="0" applyBorder="1" applyFont="1" applyNumberFormat="1"/>
    <xf borderId="31" fillId="8" fontId="2" numFmtId="164" xfId="0" applyBorder="1" applyFont="1" applyNumberFormat="1"/>
    <xf borderId="32" fillId="0" fontId="2" numFmtId="0" xfId="0" applyBorder="1" applyFont="1"/>
    <xf borderId="33" fillId="0" fontId="2" numFmtId="0" xfId="0" applyBorder="1" applyFont="1"/>
    <xf borderId="30" fillId="9" fontId="2" numFmtId="9" xfId="0" applyBorder="1" applyFill="1" applyFont="1" applyNumberFormat="1"/>
    <xf borderId="30" fillId="9" fontId="2" numFmtId="2" xfId="0" applyBorder="1" applyFont="1" applyNumberFormat="1"/>
    <xf borderId="34" fillId="0" fontId="2" numFmtId="0" xfId="0" applyBorder="1" applyFont="1"/>
    <xf borderId="7" fillId="10" fontId="2" numFmtId="9" xfId="0" applyBorder="1" applyFill="1" applyFont="1" applyNumberFormat="1"/>
    <xf borderId="7" fillId="10" fontId="2" numFmtId="2" xfId="0" applyBorder="1" applyFont="1" applyNumberFormat="1"/>
    <xf borderId="35" fillId="0" fontId="2" numFmtId="0" xfId="0" applyBorder="1" applyFont="1"/>
    <xf borderId="36" fillId="0" fontId="2" numFmtId="0" xfId="0" applyBorder="1" applyFont="1"/>
    <xf borderId="23" fillId="11" fontId="7" numFmtId="9" xfId="0" applyBorder="1" applyFill="1" applyFont="1" applyNumberFormat="1"/>
    <xf borderId="23" fillId="11" fontId="7" numFmtId="2" xfId="0" applyBorder="1" applyFont="1" applyNumberFormat="1"/>
    <xf borderId="29" fillId="12" fontId="7" numFmtId="0" xfId="0" applyBorder="1" applyFill="1" applyFont="1"/>
    <xf borderId="30" fillId="12" fontId="7" numFmtId="0" xfId="0" applyBorder="1" applyFont="1"/>
    <xf borderId="30" fillId="12" fontId="7" numFmtId="2" xfId="0" applyBorder="1" applyFont="1" applyNumberFormat="1"/>
    <xf borderId="31" fillId="12" fontId="7" numFmtId="2" xfId="0" applyBorder="1" applyFont="1" applyNumberFormat="1"/>
    <xf borderId="37" fillId="12" fontId="7" numFmtId="0" xfId="0" applyBorder="1" applyFont="1"/>
    <xf borderId="7" fillId="12" fontId="7" numFmtId="0" xfId="0" applyBorder="1" applyFont="1"/>
    <xf borderId="7" fillId="12" fontId="7" numFmtId="2" xfId="0" applyBorder="1" applyFont="1" applyNumberFormat="1"/>
    <xf borderId="38" fillId="12" fontId="7" numFmtId="2" xfId="0" applyBorder="1" applyFont="1" applyNumberFormat="1"/>
    <xf borderId="0" fillId="0" fontId="2" numFmtId="164" xfId="0" applyFont="1" applyNumberFormat="1"/>
    <xf borderId="0" fillId="0" fontId="5" numFmtId="0" xfId="0" applyAlignment="1" applyFont="1">
      <alignment horizontal="center" shrinkToFit="0" wrapText="1"/>
    </xf>
    <xf borderId="3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24.75"/>
    <col customWidth="1" min="3" max="3" width="8.75"/>
    <col customWidth="1" min="4" max="4" width="25.0"/>
    <col customWidth="1" min="5" max="8" width="17.38"/>
    <col customWidth="1" min="9" max="13" width="16.75"/>
    <col customWidth="1" min="14" max="26" width="8.63"/>
  </cols>
  <sheetData>
    <row r="1">
      <c r="D1" s="1" t="s">
        <v>0</v>
      </c>
      <c r="E1" s="1">
        <v>0.0</v>
      </c>
      <c r="F1" s="1">
        <v>0.0</v>
      </c>
      <c r="G1" s="2">
        <v>400400.0</v>
      </c>
    </row>
    <row r="2">
      <c r="D2" s="3" t="s">
        <v>1</v>
      </c>
      <c r="E2" s="4">
        <v>5656799.6</v>
      </c>
      <c r="F2" s="5">
        <v>2443554.72</v>
      </c>
      <c r="G2" s="4"/>
      <c r="H2" s="4"/>
      <c r="I2" s="4"/>
      <c r="J2" s="4"/>
      <c r="K2" s="4"/>
      <c r="L2" s="4"/>
      <c r="M2" s="4"/>
    </row>
    <row r="3"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>
      <c r="A4" s="7" t="s">
        <v>11</v>
      </c>
      <c r="B4" s="8" t="s">
        <v>12</v>
      </c>
      <c r="C4" s="8"/>
      <c r="D4" s="8"/>
      <c r="E4" s="9">
        <v>0.0</v>
      </c>
      <c r="F4" s="9">
        <v>0.0</v>
      </c>
      <c r="G4" s="9"/>
      <c r="H4" s="9"/>
      <c r="I4" s="9"/>
      <c r="J4" s="9"/>
      <c r="K4" s="9"/>
      <c r="L4" s="9"/>
      <c r="M4" s="10"/>
    </row>
    <row r="5">
      <c r="A5" s="11"/>
      <c r="B5" s="12" t="s">
        <v>13</v>
      </c>
      <c r="E5" s="13">
        <v>900000.0</v>
      </c>
      <c r="F5" s="13">
        <f>900000+1800000</f>
        <v>2700000</v>
      </c>
      <c r="G5" s="13">
        <f>(900000/8)</f>
        <v>112500</v>
      </c>
      <c r="H5" s="13">
        <f>(900000/8)+(4500000/6)</f>
        <v>862500</v>
      </c>
      <c r="I5" s="13">
        <f>(900000/8)+((4500000/6) + (5850000/5))</f>
        <v>2032500</v>
      </c>
      <c r="J5" s="13">
        <f t="shared" ref="J5:M5" si="1">(900000/8)+(4500000/6)</f>
        <v>862500</v>
      </c>
      <c r="K5" s="13">
        <f t="shared" si="1"/>
        <v>862500</v>
      </c>
      <c r="L5" s="13">
        <f t="shared" si="1"/>
        <v>862500</v>
      </c>
      <c r="M5" s="13">
        <f t="shared" si="1"/>
        <v>862500</v>
      </c>
    </row>
    <row r="6">
      <c r="A6" s="11"/>
      <c r="B6" s="12" t="s">
        <v>14</v>
      </c>
      <c r="C6" s="1">
        <v>1500000.0</v>
      </c>
      <c r="E6" s="13">
        <v>1500000.0</v>
      </c>
      <c r="F6" s="13">
        <f t="shared" ref="F6:M6" si="2">(1500000/8)</f>
        <v>187500</v>
      </c>
      <c r="G6" s="13">
        <f t="shared" si="2"/>
        <v>187500</v>
      </c>
      <c r="H6" s="13">
        <f t="shared" si="2"/>
        <v>187500</v>
      </c>
      <c r="I6" s="13">
        <f t="shared" si="2"/>
        <v>187500</v>
      </c>
      <c r="J6" s="13">
        <f t="shared" si="2"/>
        <v>187500</v>
      </c>
      <c r="K6" s="13">
        <f t="shared" si="2"/>
        <v>187500</v>
      </c>
      <c r="L6" s="13">
        <f t="shared" si="2"/>
        <v>187500</v>
      </c>
      <c r="M6" s="14">
        <f t="shared" si="2"/>
        <v>187500</v>
      </c>
    </row>
    <row r="7">
      <c r="A7" s="11"/>
      <c r="B7" s="1" t="s">
        <v>15</v>
      </c>
      <c r="E7" s="13">
        <v>0.0</v>
      </c>
      <c r="F7" s="13">
        <v>2970000.0</v>
      </c>
      <c r="G7" s="13">
        <f>900000*4</f>
        <v>3600000</v>
      </c>
      <c r="H7" s="13">
        <f t="shared" ref="H7:I7" si="3">900000*4.2</f>
        <v>3780000</v>
      </c>
      <c r="I7" s="13">
        <f t="shared" si="3"/>
        <v>3780000</v>
      </c>
      <c r="J7" s="13"/>
      <c r="K7" s="13"/>
      <c r="L7" s="13"/>
      <c r="M7" s="14"/>
    </row>
    <row r="8">
      <c r="A8" s="11"/>
      <c r="B8" s="15" t="s">
        <v>16</v>
      </c>
      <c r="E8" s="13">
        <v>545400.0</v>
      </c>
      <c r="F8" s="13">
        <v>540000.0</v>
      </c>
      <c r="G8" s="13">
        <v>0.0</v>
      </c>
      <c r="H8" s="13">
        <v>505585.8</v>
      </c>
      <c r="I8" s="16">
        <v>0.0</v>
      </c>
      <c r="J8" s="16">
        <f t="shared" ref="J8:K8" si="4">444400/2</f>
        <v>222200</v>
      </c>
      <c r="K8" s="16">
        <f t="shared" si="4"/>
        <v>222200</v>
      </c>
      <c r="L8" s="13"/>
      <c r="M8" s="14"/>
    </row>
    <row r="9">
      <c r="A9" s="11"/>
      <c r="B9" s="15" t="s">
        <v>17</v>
      </c>
      <c r="E9" s="13">
        <v>363600.0</v>
      </c>
      <c r="F9" s="13">
        <v>360000.0</v>
      </c>
      <c r="G9" s="13">
        <v>0.0</v>
      </c>
      <c r="H9" s="13">
        <v>393233.4</v>
      </c>
      <c r="I9" s="16">
        <f t="shared" ref="I9:K9" si="5">363600/3</f>
        <v>121200</v>
      </c>
      <c r="J9" s="16">
        <f t="shared" si="5"/>
        <v>121200</v>
      </c>
      <c r="K9" s="16">
        <f t="shared" si="5"/>
        <v>121200</v>
      </c>
      <c r="L9" s="13"/>
      <c r="M9" s="14"/>
    </row>
    <row r="10">
      <c r="A10" s="11"/>
      <c r="B10" s="15" t="s">
        <v>18</v>
      </c>
      <c r="E10" s="13">
        <v>163620.0</v>
      </c>
      <c r="F10" s="13">
        <v>162000.0</v>
      </c>
      <c r="G10" s="13">
        <v>0.0</v>
      </c>
      <c r="H10" s="13">
        <v>196616.7</v>
      </c>
      <c r="I10" s="16">
        <v>0.0</v>
      </c>
      <c r="J10" s="16">
        <f>181800</f>
        <v>181800</v>
      </c>
      <c r="K10" s="13"/>
      <c r="L10" s="13"/>
      <c r="M10" s="14"/>
    </row>
    <row r="11">
      <c r="A11" s="11"/>
      <c r="B11" s="12" t="s">
        <v>19</v>
      </c>
      <c r="C11" s="1">
        <v>600000.0</v>
      </c>
      <c r="D11" s="17" t="s">
        <v>20</v>
      </c>
      <c r="E11" s="13">
        <f>600000</f>
        <v>600000</v>
      </c>
      <c r="F11" s="13">
        <f>(600000/8)+600000</f>
        <v>675000</v>
      </c>
      <c r="G11" s="13">
        <f t="shared" ref="G11:H11" si="6">(600000/8)+750000</f>
        <v>825000</v>
      </c>
      <c r="H11" s="13">
        <f t="shared" si="6"/>
        <v>825000</v>
      </c>
      <c r="I11" s="13">
        <f>(600000/8)+750000</f>
        <v>825000</v>
      </c>
      <c r="J11" s="13"/>
      <c r="K11" s="13"/>
      <c r="L11" s="13"/>
      <c r="M11" s="14"/>
    </row>
    <row r="12">
      <c r="A12" s="18"/>
      <c r="B12" s="19" t="s">
        <v>21</v>
      </c>
      <c r="C12" s="20"/>
      <c r="D12" s="20"/>
      <c r="E12" s="21">
        <v>14180.4</v>
      </c>
      <c r="F12" s="21">
        <f>14180.4+17816.4</f>
        <v>31996.8</v>
      </c>
      <c r="G12" s="21">
        <v>22662.46</v>
      </c>
      <c r="H12" s="21">
        <v>6805.86</v>
      </c>
      <c r="I12" s="22">
        <v>15632.24</v>
      </c>
      <c r="J12" s="21"/>
      <c r="K12" s="21"/>
      <c r="L12" s="21"/>
      <c r="M12" s="23"/>
    </row>
    <row r="13">
      <c r="A13" s="7" t="s">
        <v>22</v>
      </c>
      <c r="B13" s="24" t="s">
        <v>23</v>
      </c>
      <c r="C13" s="24"/>
      <c r="D13" s="24"/>
      <c r="E13" s="25">
        <v>0.0</v>
      </c>
      <c r="F13" s="25">
        <f>17470000*0.04</f>
        <v>698800</v>
      </c>
      <c r="G13" s="25">
        <f>17997536*0.02</f>
        <v>359950.72</v>
      </c>
      <c r="H13" s="25">
        <f>36109741.5*0.04</f>
        <v>1444389.66</v>
      </c>
      <c r="I13" s="26">
        <f>38649492*0.02</f>
        <v>772989.84</v>
      </c>
      <c r="J13" s="25"/>
      <c r="K13" s="25"/>
      <c r="L13" s="25"/>
      <c r="M13" s="27"/>
    </row>
    <row r="14">
      <c r="A14" s="11"/>
      <c r="B14" s="28" t="s">
        <v>24</v>
      </c>
      <c r="C14" s="28"/>
      <c r="D14" s="28"/>
      <c r="E14" s="29">
        <v>0.0</v>
      </c>
      <c r="F14" s="29">
        <v>333200.0</v>
      </c>
      <c r="G14" s="29">
        <v>830676.8</v>
      </c>
      <c r="H14" s="29">
        <v>6215487.08</v>
      </c>
      <c r="I14" s="30">
        <v>0.0</v>
      </c>
      <c r="J14" s="29"/>
      <c r="K14" s="29"/>
      <c r="L14" s="29"/>
      <c r="M14" s="31"/>
    </row>
    <row r="15">
      <c r="A15" s="18"/>
      <c r="B15" s="32" t="s">
        <v>25</v>
      </c>
      <c r="C15" s="32"/>
      <c r="D15" s="32"/>
      <c r="E15" s="33"/>
      <c r="F15" s="33">
        <f>21240+76000</f>
        <v>97240</v>
      </c>
      <c r="G15" s="33">
        <v>112044.0</v>
      </c>
      <c r="H15" s="34">
        <f>108000+8125.37</f>
        <v>116125.37</v>
      </c>
      <c r="I15" s="35">
        <f>9800 + 80837.29</f>
        <v>90637.29</v>
      </c>
      <c r="J15" s="33"/>
      <c r="K15" s="33"/>
      <c r="L15" s="33"/>
      <c r="M15" s="36"/>
    </row>
    <row r="16">
      <c r="A16" s="7" t="s">
        <v>26</v>
      </c>
      <c r="B16" s="37" t="s">
        <v>27</v>
      </c>
      <c r="C16" s="8"/>
      <c r="D16" s="8"/>
      <c r="E16" s="9">
        <v>385000.0</v>
      </c>
      <c r="F16" s="9">
        <f>385000+418100</f>
        <v>803100</v>
      </c>
      <c r="G16" s="9">
        <v>543900.0</v>
      </c>
      <c r="H16" s="9">
        <v>602700.0</v>
      </c>
      <c r="I16" s="38">
        <v>1217400.0</v>
      </c>
      <c r="J16" s="9"/>
      <c r="K16" s="9"/>
      <c r="L16" s="9"/>
      <c r="M16" s="10"/>
    </row>
    <row r="17">
      <c r="A17" s="11"/>
      <c r="B17" s="12" t="s">
        <v>28</v>
      </c>
      <c r="E17" s="13">
        <v>200000.0</v>
      </c>
      <c r="F17" s="13">
        <f>200000+450000</f>
        <v>650000</v>
      </c>
      <c r="G17" s="13">
        <v>100000.0</v>
      </c>
      <c r="H17" s="13">
        <v>600000.0</v>
      </c>
      <c r="I17" s="16">
        <v>0.0</v>
      </c>
      <c r="J17" s="13"/>
      <c r="K17" s="13"/>
      <c r="L17" s="13"/>
      <c r="M17" s="14"/>
    </row>
    <row r="18">
      <c r="A18" s="11"/>
      <c r="B18" s="12" t="s">
        <v>29</v>
      </c>
      <c r="E18" s="13">
        <v>0.0</v>
      </c>
      <c r="F18" s="13">
        <v>0.0</v>
      </c>
      <c r="G18" s="13">
        <v>20000.0</v>
      </c>
      <c r="H18" s="13">
        <v>30000.0</v>
      </c>
      <c r="I18" s="16">
        <v>40000.0</v>
      </c>
      <c r="J18" s="13"/>
      <c r="K18" s="13"/>
      <c r="L18" s="13"/>
      <c r="M18" s="14"/>
    </row>
    <row r="19">
      <c r="A19" s="18"/>
      <c r="B19" s="19" t="s">
        <v>30</v>
      </c>
      <c r="C19" s="20"/>
      <c r="D19" s="20"/>
      <c r="E19" s="21">
        <v>70000.0</v>
      </c>
      <c r="F19" s="21">
        <f>70000+142500</f>
        <v>212500</v>
      </c>
      <c r="G19" s="21">
        <v>360000.0</v>
      </c>
      <c r="H19" s="21">
        <v>374000.0</v>
      </c>
      <c r="I19" s="22">
        <v>297500.0</v>
      </c>
      <c r="J19" s="21"/>
      <c r="K19" s="21"/>
      <c r="L19" s="21"/>
      <c r="M19" s="23"/>
    </row>
    <row r="20">
      <c r="A20" s="7" t="s">
        <v>31</v>
      </c>
      <c r="B20" s="37" t="s">
        <v>32</v>
      </c>
      <c r="C20" s="8"/>
      <c r="D20" s="8"/>
      <c r="E20" s="9">
        <v>0.0</v>
      </c>
      <c r="F20" s="9">
        <v>0.0</v>
      </c>
      <c r="G20" s="9">
        <f>2000000*0.05</f>
        <v>100000</v>
      </c>
      <c r="H20" s="9"/>
      <c r="I20" s="38">
        <f>2006611.92 + 320000</f>
        <v>2326611.92</v>
      </c>
      <c r="J20" s="9"/>
      <c r="K20" s="9"/>
      <c r="L20" s="9"/>
      <c r="M20" s="10"/>
    </row>
    <row r="21" ht="15.75" customHeight="1">
      <c r="A21" s="18"/>
      <c r="B21" s="19" t="s">
        <v>33</v>
      </c>
      <c r="C21" s="20"/>
      <c r="D21" s="20"/>
      <c r="E21" s="21">
        <v>0.0</v>
      </c>
      <c r="F21" s="21">
        <v>950000.0</v>
      </c>
      <c r="G21" s="21">
        <v>0.0</v>
      </c>
      <c r="H21" s="21">
        <v>1150000.0</v>
      </c>
      <c r="I21" s="22">
        <v>0.0</v>
      </c>
      <c r="J21" s="21"/>
      <c r="K21" s="21"/>
      <c r="L21" s="21"/>
      <c r="M21" s="23"/>
    </row>
    <row r="22" ht="15.75" customHeight="1">
      <c r="A22" s="1" t="s">
        <v>34</v>
      </c>
      <c r="E22" s="39">
        <f t="shared" ref="E22:M22" si="7">SUM(E4:E21)</f>
        <v>4741800.4</v>
      </c>
      <c r="F22" s="40">
        <f t="shared" si="7"/>
        <v>11371336.8</v>
      </c>
      <c r="G22" s="40">
        <f t="shared" si="7"/>
        <v>7174233.98</v>
      </c>
      <c r="H22" s="40">
        <f t="shared" si="7"/>
        <v>17289943.87</v>
      </c>
      <c r="I22" s="40">
        <f t="shared" si="7"/>
        <v>11706971.29</v>
      </c>
      <c r="J22" s="40">
        <f t="shared" si="7"/>
        <v>1575200</v>
      </c>
      <c r="K22" s="40">
        <f t="shared" si="7"/>
        <v>1393400</v>
      </c>
      <c r="L22" s="40">
        <f t="shared" si="7"/>
        <v>1050000</v>
      </c>
      <c r="M22" s="41">
        <f t="shared" si="7"/>
        <v>1050000</v>
      </c>
    </row>
    <row r="23" ht="15.75" customHeight="1">
      <c r="A23" s="1" t="s">
        <v>35</v>
      </c>
      <c r="D23" s="1" t="s">
        <v>36</v>
      </c>
      <c r="E23" s="42">
        <v>900000.0</v>
      </c>
      <c r="F23" s="43">
        <v>900000.0</v>
      </c>
      <c r="G23" s="43">
        <v>900000.0</v>
      </c>
      <c r="H23" s="43">
        <v>900000.0</v>
      </c>
      <c r="I23" s="43">
        <v>900000.0</v>
      </c>
      <c r="J23" s="43"/>
      <c r="K23" s="43"/>
      <c r="L23" s="43"/>
      <c r="M23" s="44"/>
    </row>
    <row r="24" ht="15.75" customHeight="1">
      <c r="A24" s="1" t="s">
        <v>37</v>
      </c>
      <c r="E24" s="45">
        <f t="shared" ref="E24:M24" si="8">E22/E23</f>
        <v>5.268667111</v>
      </c>
      <c r="F24" s="45">
        <f t="shared" si="8"/>
        <v>12.63481867</v>
      </c>
      <c r="G24" s="45">
        <f t="shared" si="8"/>
        <v>7.971371089</v>
      </c>
      <c r="H24" s="45">
        <f t="shared" si="8"/>
        <v>19.21104874</v>
      </c>
      <c r="I24" s="45">
        <f t="shared" si="8"/>
        <v>13.00774588</v>
      </c>
      <c r="J24" s="45" t="str">
        <f t="shared" si="8"/>
        <v>#DIV/0!</v>
      </c>
      <c r="K24" s="45" t="str">
        <f t="shared" si="8"/>
        <v>#DIV/0!</v>
      </c>
      <c r="L24" s="45" t="str">
        <f t="shared" si="8"/>
        <v>#DIV/0!</v>
      </c>
      <c r="M24" s="45" t="str">
        <f t="shared" si="8"/>
        <v>#DIV/0!</v>
      </c>
    </row>
    <row r="25" ht="15.75" customHeight="1">
      <c r="A25" s="1" t="s">
        <v>38</v>
      </c>
      <c r="B25" s="46">
        <v>0.89</v>
      </c>
      <c r="D25" s="1" t="s">
        <v>36</v>
      </c>
      <c r="E25" s="47">
        <v>0.86</v>
      </c>
      <c r="F25" s="48">
        <v>0.86</v>
      </c>
      <c r="G25" s="48">
        <v>0.91</v>
      </c>
      <c r="H25" s="48">
        <v>0.89</v>
      </c>
      <c r="I25" s="49">
        <v>0.92</v>
      </c>
      <c r="J25" s="48"/>
      <c r="K25" s="48"/>
      <c r="L25" s="48"/>
      <c r="M25" s="50"/>
    </row>
    <row r="26" ht="15.75" customHeight="1">
      <c r="A26" s="1" t="s">
        <v>39</v>
      </c>
      <c r="D26" s="51" t="s">
        <v>40</v>
      </c>
      <c r="E26" s="52">
        <f t="shared" ref="E26:M26" si="9">E23*E25</f>
        <v>774000</v>
      </c>
      <c r="F26" s="52">
        <f t="shared" si="9"/>
        <v>774000</v>
      </c>
      <c r="G26" s="52">
        <f t="shared" si="9"/>
        <v>819000</v>
      </c>
      <c r="H26" s="52">
        <f t="shared" si="9"/>
        <v>801000</v>
      </c>
      <c r="I26" s="52">
        <f t="shared" si="9"/>
        <v>828000</v>
      </c>
      <c r="J26" s="52">
        <f t="shared" si="9"/>
        <v>0</v>
      </c>
      <c r="K26" s="52">
        <f t="shared" si="9"/>
        <v>0</v>
      </c>
      <c r="L26" s="52">
        <f t="shared" si="9"/>
        <v>0</v>
      </c>
      <c r="M26" s="52">
        <f t="shared" si="9"/>
        <v>0</v>
      </c>
    </row>
    <row r="27" ht="15.75" customHeight="1">
      <c r="A27" s="1" t="s">
        <v>41</v>
      </c>
      <c r="E27" s="53">
        <f t="shared" ref="E27:M27" si="10">E22/E26</f>
        <v>6.126357106</v>
      </c>
      <c r="F27" s="54">
        <f t="shared" si="10"/>
        <v>14.69164961</v>
      </c>
      <c r="G27" s="54">
        <f t="shared" si="10"/>
        <v>8.759748449</v>
      </c>
      <c r="H27" s="54">
        <f t="shared" si="10"/>
        <v>21.58544803</v>
      </c>
      <c r="I27" s="54">
        <f t="shared" si="10"/>
        <v>14.13885421</v>
      </c>
      <c r="J27" s="54" t="str">
        <f t="shared" si="10"/>
        <v>#DIV/0!</v>
      </c>
      <c r="K27" s="54" t="str">
        <f t="shared" si="10"/>
        <v>#DIV/0!</v>
      </c>
      <c r="L27" s="54" t="str">
        <f t="shared" si="10"/>
        <v>#DIV/0!</v>
      </c>
      <c r="M27" s="55" t="str">
        <f t="shared" si="10"/>
        <v>#DIV/0!</v>
      </c>
    </row>
    <row r="28" ht="15.75" customHeight="1">
      <c r="A28" s="56" t="s">
        <v>42</v>
      </c>
      <c r="B28" s="57" t="s">
        <v>43</v>
      </c>
      <c r="C28" s="58">
        <v>0.5</v>
      </c>
      <c r="D28" s="57" t="s">
        <v>40</v>
      </c>
      <c r="E28" s="59">
        <f t="shared" ref="E28:F28" si="11">E$26*$C28</f>
        <v>387000</v>
      </c>
      <c r="F28" s="59">
        <f t="shared" si="11"/>
        <v>387000</v>
      </c>
      <c r="G28" s="59">
        <f>(G$26+G$1)*$C28</f>
        <v>609700</v>
      </c>
      <c r="H28" s="59">
        <f t="shared" ref="H28:M28" si="12">H$26*$C28</f>
        <v>400500</v>
      </c>
      <c r="I28" s="59">
        <f t="shared" si="12"/>
        <v>414000</v>
      </c>
      <c r="J28" s="59">
        <f t="shared" si="12"/>
        <v>0</v>
      </c>
      <c r="K28" s="59">
        <f t="shared" si="12"/>
        <v>0</v>
      </c>
      <c r="L28" s="59">
        <f t="shared" si="12"/>
        <v>0</v>
      </c>
      <c r="M28" s="59">
        <f t="shared" si="12"/>
        <v>0</v>
      </c>
    </row>
    <row r="29" ht="15.75" customHeight="1">
      <c r="A29" s="60"/>
      <c r="B29" s="1" t="s">
        <v>44</v>
      </c>
      <c r="C29" s="61">
        <v>0.45</v>
      </c>
      <c r="D29" s="1" t="s">
        <v>40</v>
      </c>
      <c r="E29" s="62">
        <f t="shared" ref="E29:F29" si="13">E$26*$C29</f>
        <v>348300</v>
      </c>
      <c r="F29" s="62">
        <f t="shared" si="13"/>
        <v>348300</v>
      </c>
      <c r="G29" s="62">
        <f>(G$26+G1)*$C29</f>
        <v>548730</v>
      </c>
      <c r="H29" s="62">
        <f t="shared" ref="H29:M29" si="14">H$26*$C29</f>
        <v>360450</v>
      </c>
      <c r="I29" s="62">
        <f t="shared" si="14"/>
        <v>372600</v>
      </c>
      <c r="J29" s="62">
        <f t="shared" si="14"/>
        <v>0</v>
      </c>
      <c r="K29" s="62">
        <f t="shared" si="14"/>
        <v>0</v>
      </c>
      <c r="L29" s="62">
        <f t="shared" si="14"/>
        <v>0</v>
      </c>
      <c r="M29" s="62">
        <f t="shared" si="14"/>
        <v>0</v>
      </c>
    </row>
    <row r="30" ht="15.75" customHeight="1">
      <c r="A30" s="63"/>
      <c r="B30" s="64" t="s">
        <v>45</v>
      </c>
      <c r="C30" s="65">
        <v>0.3</v>
      </c>
      <c r="D30" s="64" t="s">
        <v>40</v>
      </c>
      <c r="E30" s="66">
        <f t="shared" ref="E30:F30" si="15">E$26*$C30</f>
        <v>232200</v>
      </c>
      <c r="F30" s="66">
        <f t="shared" si="15"/>
        <v>232200</v>
      </c>
      <c r="G30" s="66">
        <f>(G$26+G1)*$C30</f>
        <v>365820</v>
      </c>
      <c r="H30" s="66">
        <f t="shared" ref="H30:M30" si="16">H$26*$C30</f>
        <v>240300</v>
      </c>
      <c r="I30" s="66">
        <f t="shared" si="16"/>
        <v>248400</v>
      </c>
      <c r="J30" s="66">
        <f t="shared" si="16"/>
        <v>0</v>
      </c>
      <c r="K30" s="66">
        <f t="shared" si="16"/>
        <v>0</v>
      </c>
      <c r="L30" s="66">
        <f t="shared" si="16"/>
        <v>0</v>
      </c>
      <c r="M30" s="66">
        <f t="shared" si="16"/>
        <v>0</v>
      </c>
    </row>
    <row r="31" ht="15.75" customHeight="1">
      <c r="A31" s="67" t="s">
        <v>46</v>
      </c>
      <c r="B31" s="68" t="s">
        <v>43</v>
      </c>
      <c r="C31" s="68"/>
      <c r="D31" s="68"/>
      <c r="E31" s="69">
        <f t="shared" ref="E31:M31" si="17">E$22/E28</f>
        <v>12.25271421</v>
      </c>
      <c r="F31" s="69">
        <f t="shared" si="17"/>
        <v>29.38329922</v>
      </c>
      <c r="G31" s="69">
        <f t="shared" si="17"/>
        <v>11.76682628</v>
      </c>
      <c r="H31" s="69">
        <f t="shared" si="17"/>
        <v>43.17089605</v>
      </c>
      <c r="I31" s="69">
        <f t="shared" si="17"/>
        <v>28.27770843</v>
      </c>
      <c r="J31" s="69" t="str">
        <f t="shared" si="17"/>
        <v>#DIV/0!</v>
      </c>
      <c r="K31" s="69" t="str">
        <f t="shared" si="17"/>
        <v>#DIV/0!</v>
      </c>
      <c r="L31" s="69" t="str">
        <f t="shared" si="17"/>
        <v>#DIV/0!</v>
      </c>
      <c r="M31" s="70" t="str">
        <f t="shared" si="17"/>
        <v>#DIV/0!</v>
      </c>
    </row>
    <row r="32" ht="15.75" customHeight="1">
      <c r="A32" s="71"/>
      <c r="B32" s="72" t="s">
        <v>44</v>
      </c>
      <c r="C32" s="72"/>
      <c r="D32" s="72"/>
      <c r="E32" s="73">
        <f t="shared" ref="E32:M32" si="18">E$22/E29</f>
        <v>13.6141269</v>
      </c>
      <c r="F32" s="73">
        <f t="shared" si="18"/>
        <v>32.64811025</v>
      </c>
      <c r="G32" s="73">
        <f t="shared" si="18"/>
        <v>13.07425142</v>
      </c>
      <c r="H32" s="73">
        <f t="shared" si="18"/>
        <v>47.96766228</v>
      </c>
      <c r="I32" s="73">
        <f t="shared" si="18"/>
        <v>31.41967603</v>
      </c>
      <c r="J32" s="73" t="str">
        <f t="shared" si="18"/>
        <v>#DIV/0!</v>
      </c>
      <c r="K32" s="73" t="str">
        <f t="shared" si="18"/>
        <v>#DIV/0!</v>
      </c>
      <c r="L32" s="73" t="str">
        <f t="shared" si="18"/>
        <v>#DIV/0!</v>
      </c>
      <c r="M32" s="74" t="str">
        <f t="shared" si="18"/>
        <v>#DIV/0!</v>
      </c>
    </row>
    <row r="33" ht="15.75" customHeight="1">
      <c r="A33" s="71"/>
      <c r="B33" s="72" t="s">
        <v>45</v>
      </c>
      <c r="C33" s="72"/>
      <c r="D33" s="72"/>
      <c r="E33" s="73">
        <f t="shared" ref="E33:M33" si="19">E$22/E30</f>
        <v>20.42119035</v>
      </c>
      <c r="F33" s="73">
        <f t="shared" si="19"/>
        <v>48.97216537</v>
      </c>
      <c r="G33" s="73">
        <f t="shared" si="19"/>
        <v>19.61137713</v>
      </c>
      <c r="H33" s="73">
        <f t="shared" si="19"/>
        <v>71.95149342</v>
      </c>
      <c r="I33" s="73">
        <f t="shared" si="19"/>
        <v>47.12951405</v>
      </c>
      <c r="J33" s="73" t="str">
        <f t="shared" si="19"/>
        <v>#DIV/0!</v>
      </c>
      <c r="K33" s="73" t="str">
        <f t="shared" si="19"/>
        <v>#DIV/0!</v>
      </c>
      <c r="L33" s="73" t="str">
        <f t="shared" si="19"/>
        <v>#DIV/0!</v>
      </c>
      <c r="M33" s="74" t="str">
        <f t="shared" si="19"/>
        <v>#DIV/0!</v>
      </c>
    </row>
    <row r="34" ht="15.75" customHeight="1">
      <c r="A34" s="1" t="s">
        <v>47</v>
      </c>
      <c r="B34" s="1" t="s">
        <v>43</v>
      </c>
      <c r="C34" s="1">
        <v>1.15</v>
      </c>
      <c r="E34" s="52">
        <f t="shared" ref="E34:E36" si="21">E31*C34</f>
        <v>14.09062134</v>
      </c>
      <c r="F34" s="75">
        <f t="shared" ref="F34:F36" si="22">C34*F31</f>
        <v>33.79079411</v>
      </c>
      <c r="G34" s="75">
        <f t="shared" ref="G34:I34" si="20">$C34*G31</f>
        <v>13.53185022</v>
      </c>
      <c r="H34" s="75">
        <f t="shared" si="20"/>
        <v>49.64653046</v>
      </c>
      <c r="I34" s="75">
        <f t="shared" si="20"/>
        <v>32.51936469</v>
      </c>
      <c r="J34" s="75"/>
      <c r="K34" s="75"/>
      <c r="L34" s="75"/>
      <c r="M34" s="75"/>
      <c r="N34" s="1" t="s">
        <v>48</v>
      </c>
    </row>
    <row r="35" ht="15.75" customHeight="1">
      <c r="A35" s="76" t="s">
        <v>49</v>
      </c>
      <c r="B35" s="1" t="s">
        <v>44</v>
      </c>
      <c r="C35" s="1">
        <v>1.15</v>
      </c>
      <c r="E35" s="52">
        <f t="shared" si="21"/>
        <v>15.65624594</v>
      </c>
      <c r="F35" s="75">
        <f t="shared" si="22"/>
        <v>37.54532679</v>
      </c>
      <c r="G35" s="75">
        <f t="shared" ref="G35:G36" si="24">C35*G32</f>
        <v>15.03538913</v>
      </c>
      <c r="H35" s="75">
        <f t="shared" ref="H35:I35" si="23">$C35*H32</f>
        <v>55.16281163</v>
      </c>
      <c r="I35" s="75">
        <f t="shared" si="23"/>
        <v>36.13262744</v>
      </c>
      <c r="J35" s="75"/>
      <c r="K35" s="75"/>
      <c r="L35" s="75"/>
      <c r="M35" s="75"/>
    </row>
    <row r="36" ht="15.75" customHeight="1">
      <c r="B36" s="1" t="s">
        <v>45</v>
      </c>
      <c r="C36" s="1">
        <v>1.15</v>
      </c>
      <c r="E36" s="52">
        <f t="shared" si="21"/>
        <v>23.48436891</v>
      </c>
      <c r="F36" s="75">
        <f t="shared" si="22"/>
        <v>56.31799018</v>
      </c>
      <c r="G36" s="75">
        <f t="shared" si="24"/>
        <v>22.55308369</v>
      </c>
      <c r="H36" s="75">
        <f t="shared" ref="H36:I36" si="25">$C36*H33</f>
        <v>82.74421744</v>
      </c>
      <c r="I36" s="75">
        <f t="shared" si="25"/>
        <v>54.19894116</v>
      </c>
      <c r="J36" s="75"/>
      <c r="K36" s="75"/>
      <c r="L36" s="75"/>
      <c r="M36" s="75"/>
    </row>
    <row r="37" ht="15.75" customHeight="1">
      <c r="A37" s="76" t="s">
        <v>50</v>
      </c>
      <c r="B37" s="1" t="s">
        <v>43</v>
      </c>
      <c r="C37" s="1">
        <v>1.2</v>
      </c>
      <c r="E37" s="52">
        <f t="shared" ref="E37:E39" si="27">E31*C37</f>
        <v>14.70325705</v>
      </c>
      <c r="F37" s="75">
        <f t="shared" ref="F37:F39" si="28">C37*F31</f>
        <v>35.25995907</v>
      </c>
      <c r="G37" s="75">
        <f t="shared" ref="G37:I37" si="26">$C37*G31</f>
        <v>14.12019153</v>
      </c>
      <c r="H37" s="75">
        <f t="shared" si="26"/>
        <v>51.80507527</v>
      </c>
      <c r="I37" s="75">
        <f t="shared" si="26"/>
        <v>33.93325012</v>
      </c>
      <c r="J37" s="75"/>
      <c r="K37" s="75"/>
      <c r="L37" s="75"/>
      <c r="M37" s="75"/>
    </row>
    <row r="38" ht="15.75" customHeight="1">
      <c r="B38" s="1" t="s">
        <v>44</v>
      </c>
      <c r="C38" s="1">
        <v>1.2</v>
      </c>
      <c r="E38" s="52">
        <f t="shared" si="27"/>
        <v>16.33695228</v>
      </c>
      <c r="F38" s="75">
        <f t="shared" si="28"/>
        <v>39.1777323</v>
      </c>
      <c r="G38" s="75">
        <f t="shared" ref="G38:G39" si="30">C38*G32</f>
        <v>15.6891017</v>
      </c>
      <c r="H38" s="75">
        <f t="shared" ref="H38:I38" si="29">$C38*H32</f>
        <v>57.56119474</v>
      </c>
      <c r="I38" s="75">
        <f t="shared" si="29"/>
        <v>37.70361124</v>
      </c>
      <c r="J38" s="75"/>
      <c r="K38" s="75"/>
      <c r="L38" s="75"/>
      <c r="M38" s="75"/>
      <c r="N38" s="1" t="s">
        <v>48</v>
      </c>
    </row>
    <row r="39" ht="15.75" customHeight="1">
      <c r="B39" s="1" t="s">
        <v>45</v>
      </c>
      <c r="C39" s="1">
        <v>1.2</v>
      </c>
      <c r="E39" s="52">
        <f t="shared" si="27"/>
        <v>24.50542842</v>
      </c>
      <c r="F39" s="75">
        <f t="shared" si="28"/>
        <v>58.76659845</v>
      </c>
      <c r="G39" s="75">
        <f t="shared" si="30"/>
        <v>23.53365255</v>
      </c>
      <c r="H39" s="75">
        <f t="shared" ref="H39:I39" si="31">$C39*H33</f>
        <v>86.34179211</v>
      </c>
      <c r="I39" s="75">
        <f t="shared" si="31"/>
        <v>56.55541686</v>
      </c>
      <c r="J39" s="75"/>
      <c r="K39" s="75"/>
      <c r="L39" s="75"/>
      <c r="M39" s="75"/>
    </row>
    <row r="40" ht="15.75" customHeight="1">
      <c r="A40" s="76" t="s">
        <v>51</v>
      </c>
      <c r="B40" s="1" t="s">
        <v>43</v>
      </c>
      <c r="C40" s="1">
        <v>1.3</v>
      </c>
      <c r="E40" s="52">
        <f t="shared" ref="E40:E42" si="33">E31*C40</f>
        <v>15.92852848</v>
      </c>
      <c r="F40" s="75">
        <f t="shared" ref="F40:F42" si="34">C40*F31</f>
        <v>38.19828899</v>
      </c>
      <c r="G40" s="75">
        <f t="shared" ref="G40:I40" si="32">$C40*G31</f>
        <v>15.29687416</v>
      </c>
      <c r="H40" s="75">
        <f t="shared" si="32"/>
        <v>56.12216487</v>
      </c>
      <c r="I40" s="75">
        <f t="shared" si="32"/>
        <v>36.76102096</v>
      </c>
      <c r="J40" s="75"/>
      <c r="K40" s="75"/>
      <c r="L40" s="75"/>
      <c r="M40" s="75"/>
    </row>
    <row r="41" ht="15.75" customHeight="1">
      <c r="B41" s="1" t="s">
        <v>44</v>
      </c>
      <c r="C41" s="1">
        <v>1.3</v>
      </c>
      <c r="E41" s="52">
        <f t="shared" si="33"/>
        <v>17.69836497</v>
      </c>
      <c r="F41" s="75">
        <f t="shared" si="34"/>
        <v>42.44254332</v>
      </c>
      <c r="G41" s="75">
        <f t="shared" ref="G41:G42" si="36">C41*G32</f>
        <v>16.99652684</v>
      </c>
      <c r="H41" s="75">
        <f t="shared" ref="H41:I41" si="35">$C41*H32</f>
        <v>62.35796097</v>
      </c>
      <c r="I41" s="75">
        <f t="shared" si="35"/>
        <v>40.84557884</v>
      </c>
      <c r="J41" s="75"/>
      <c r="K41" s="75"/>
      <c r="L41" s="75"/>
      <c r="M41" s="75"/>
    </row>
    <row r="42" ht="15.75" customHeight="1">
      <c r="B42" s="1" t="s">
        <v>45</v>
      </c>
      <c r="C42" s="1">
        <v>1.3</v>
      </c>
      <c r="E42" s="52">
        <f t="shared" si="33"/>
        <v>26.54754746</v>
      </c>
      <c r="F42" s="75">
        <f t="shared" si="34"/>
        <v>63.66381499</v>
      </c>
      <c r="G42" s="75">
        <f t="shared" si="36"/>
        <v>25.49479026</v>
      </c>
      <c r="H42" s="75">
        <f t="shared" ref="H42:I42" si="37">$C42*H33</f>
        <v>93.53694145</v>
      </c>
      <c r="I42" s="75">
        <f t="shared" si="37"/>
        <v>61.26836826</v>
      </c>
      <c r="J42" s="75"/>
      <c r="K42" s="75"/>
      <c r="L42" s="75"/>
      <c r="M42" s="75"/>
      <c r="N42" s="1" t="s">
        <v>48</v>
      </c>
    </row>
    <row r="43" ht="15.75" customHeight="1">
      <c r="C43" s="1" t="s">
        <v>52</v>
      </c>
      <c r="E43" s="52"/>
    </row>
    <row r="44" ht="15.75" customHeight="1">
      <c r="E44" s="52"/>
    </row>
    <row r="45" ht="15.75" customHeight="1">
      <c r="E45" s="52"/>
    </row>
    <row r="46" ht="15.75" customHeight="1">
      <c r="E46" s="52"/>
    </row>
    <row r="47" ht="15.75" customHeight="1">
      <c r="E47" s="52"/>
    </row>
    <row r="48" ht="15.75" customHeight="1">
      <c r="E48" s="52"/>
    </row>
    <row r="49" ht="15.75" customHeight="1">
      <c r="E49" s="52"/>
    </row>
    <row r="50" ht="15.75" customHeight="1">
      <c r="E50" s="52"/>
      <c r="F50" s="77"/>
    </row>
    <row r="51" ht="15.75" customHeight="1">
      <c r="E51" s="52"/>
    </row>
    <row r="52" ht="15.75" customHeight="1">
      <c r="E52" s="52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5:A36"/>
    <mergeCell ref="A37:A39"/>
    <mergeCell ref="A40:A42"/>
  </mergeCells>
  <printOptions/>
  <pageMargins bottom="0.787401575" footer="0.0" header="0.0" left="0.511811024" right="0.511811024" top="0.787401575"/>
  <pageSetup orientation="landscape"/>
  <drawing r:id="rId1"/>
</worksheet>
</file>