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ksrychenberg-my.sharepoint.com/personal/corvin_sydow_stud_krw_ch/Documents/Corvin/MA/"/>
    </mc:Choice>
  </mc:AlternateContent>
  <xr:revisionPtr revIDLastSave="541" documentId="13_ncr:1_{9545939A-2686-4633-919C-4F3F074D5EBE}" xr6:coauthVersionLast="47" xr6:coauthVersionMax="47" xr10:uidLastSave="{1570EDA3-216A-4F85-9F58-6D6F7CF4874E}"/>
  <bookViews>
    <workbookView xWindow="4860" yWindow="750" windowWidth="23280" windowHeight="14265" activeTab="1" xr2:uid="{00000000-000D-0000-FFFF-FFFF00000000}"/>
  </bookViews>
  <sheets>
    <sheet name="Kaltes Jahr (2013)" sheetId="5" r:id="rId1"/>
    <sheet name="Durchschnittliches Jahr" sheetId="1" r:id="rId2"/>
    <sheet name="Warmes Jahr (2014)" sheetId="6" r:id="rId3"/>
    <sheet name="version_fuer_anhang" sheetId="7" r:id="rId4"/>
    <sheet name="Schmierzettel Diagramme" sheetId="4" r:id="rId5"/>
    <sheet name="schmierzettel-luftwp" sheetId="3" r:id="rId6"/>
    <sheet name="schmierzettel" sheetId="2" r:id="rId7"/>
  </sheets>
  <definedNames>
    <definedName name="_xlnm.Print_Area" localSheetId="3">version_fuer_anhang!$A$1:$AR$23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7" l="1"/>
  <c r="E22" i="7" s="1"/>
  <c r="E13" i="7"/>
  <c r="AR10" i="7"/>
  <c r="AR11" i="7" s="1"/>
  <c r="AQ10" i="7"/>
  <c r="AQ11" i="7" s="1"/>
  <c r="AP10" i="7"/>
  <c r="AP11" i="7" s="1"/>
  <c r="AO10" i="7"/>
  <c r="AO11" i="7" s="1"/>
  <c r="AN10" i="7"/>
  <c r="AN11" i="7" s="1"/>
  <c r="AM10" i="7"/>
  <c r="AM11" i="7" s="1"/>
  <c r="AM13" i="7" s="1"/>
  <c r="AL10" i="7"/>
  <c r="AL11" i="7" s="1"/>
  <c r="AK10" i="7"/>
  <c r="AK11" i="7" s="1"/>
  <c r="AJ10" i="7"/>
  <c r="AJ11" i="7" s="1"/>
  <c r="AI10" i="7"/>
  <c r="AI11" i="7" s="1"/>
  <c r="AI13" i="7" s="1"/>
  <c r="AH10" i="7"/>
  <c r="AH11" i="7" s="1"/>
  <c r="AG10" i="7"/>
  <c r="AG11" i="7" s="1"/>
  <c r="AF10" i="7"/>
  <c r="AF11" i="7" s="1"/>
  <c r="AE10" i="7"/>
  <c r="AE11" i="7" s="1"/>
  <c r="AE13" i="7" s="1"/>
  <c r="AD10" i="7"/>
  <c r="AD11" i="7" s="1"/>
  <c r="AC10" i="7"/>
  <c r="AC11" i="7" s="1"/>
  <c r="AB10" i="7"/>
  <c r="AB11" i="7" s="1"/>
  <c r="AA10" i="7"/>
  <c r="AA11" i="7" s="1"/>
  <c r="Z10" i="7"/>
  <c r="Z11" i="7" s="1"/>
  <c r="Y10" i="7"/>
  <c r="Y11" i="7" s="1"/>
  <c r="X10" i="7"/>
  <c r="X11" i="7" s="1"/>
  <c r="W10" i="7"/>
  <c r="W11" i="7" s="1"/>
  <c r="W13" i="7" s="1"/>
  <c r="V10" i="7"/>
  <c r="V11" i="7" s="1"/>
  <c r="U10" i="7"/>
  <c r="U11" i="7" s="1"/>
  <c r="T10" i="7"/>
  <c r="T11" i="7" s="1"/>
  <c r="S10" i="7"/>
  <c r="S11" i="7" s="1"/>
  <c r="S13" i="7" s="1"/>
  <c r="R10" i="7"/>
  <c r="R11" i="7" s="1"/>
  <c r="R13" i="7" s="1"/>
  <c r="Q10" i="7"/>
  <c r="Q11" i="7" s="1"/>
  <c r="P10" i="7"/>
  <c r="P11" i="7" s="1"/>
  <c r="O10" i="7"/>
  <c r="O11" i="7" s="1"/>
  <c r="O13" i="7" s="1"/>
  <c r="N10" i="7"/>
  <c r="N11" i="7" s="1"/>
  <c r="N13" i="7" s="1"/>
  <c r="M10" i="7"/>
  <c r="M11" i="7" s="1"/>
  <c r="L10" i="7"/>
  <c r="L11" i="7" s="1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B6" i="7"/>
  <c r="E5" i="7"/>
  <c r="AO8" i="7" s="1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J3" i="7"/>
  <c r="F21" i="6"/>
  <c r="F22" i="6" s="1"/>
  <c r="AN17" i="6"/>
  <c r="AF17" i="6"/>
  <c r="X17" i="6"/>
  <c r="P17" i="6"/>
  <c r="F13" i="6"/>
  <c r="AE13" i="6" s="1"/>
  <c r="AR11" i="6"/>
  <c r="AN11" i="6"/>
  <c r="AJ11" i="6"/>
  <c r="AF11" i="6"/>
  <c r="AF13" i="6" s="1"/>
  <c r="AB11" i="6"/>
  <c r="X11" i="6"/>
  <c r="T11" i="6"/>
  <c r="P11" i="6"/>
  <c r="P13" i="6" s="1"/>
  <c r="AS10" i="6"/>
  <c r="AS11" i="6" s="1"/>
  <c r="AR10" i="6"/>
  <c r="AQ10" i="6"/>
  <c r="AQ11" i="6" s="1"/>
  <c r="AP10" i="6"/>
  <c r="AP11" i="6" s="1"/>
  <c r="AP17" i="6" s="1"/>
  <c r="AO10" i="6"/>
  <c r="AO11" i="6" s="1"/>
  <c r="AN10" i="6"/>
  <c r="AM10" i="6"/>
  <c r="AM11" i="6" s="1"/>
  <c r="AL10" i="6"/>
  <c r="AL11" i="6" s="1"/>
  <c r="AL17" i="6" s="1"/>
  <c r="AK10" i="6"/>
  <c r="AK11" i="6" s="1"/>
  <c r="AJ10" i="6"/>
  <c r="AI10" i="6"/>
  <c r="AI11" i="6" s="1"/>
  <c r="AH10" i="6"/>
  <c r="AH11" i="6" s="1"/>
  <c r="AH17" i="6" s="1"/>
  <c r="AG10" i="6"/>
  <c r="AG11" i="6" s="1"/>
  <c r="AF10" i="6"/>
  <c r="AE10" i="6"/>
  <c r="AE11" i="6" s="1"/>
  <c r="AD10" i="6"/>
  <c r="AD11" i="6" s="1"/>
  <c r="AD17" i="6" s="1"/>
  <c r="AC10" i="6"/>
  <c r="AC11" i="6" s="1"/>
  <c r="AB10" i="6"/>
  <c r="AA10" i="6"/>
  <c r="AA11" i="6" s="1"/>
  <c r="Z10" i="6"/>
  <c r="Z11" i="6" s="1"/>
  <c r="Z17" i="6" s="1"/>
  <c r="Y10" i="6"/>
  <c r="Y11" i="6" s="1"/>
  <c r="X10" i="6"/>
  <c r="W10" i="6"/>
  <c r="W11" i="6" s="1"/>
  <c r="V10" i="6"/>
  <c r="V11" i="6" s="1"/>
  <c r="V17" i="6" s="1"/>
  <c r="U10" i="6"/>
  <c r="U11" i="6" s="1"/>
  <c r="T10" i="6"/>
  <c r="S10" i="6"/>
  <c r="S11" i="6" s="1"/>
  <c r="R10" i="6"/>
  <c r="R11" i="6" s="1"/>
  <c r="R17" i="6" s="1"/>
  <c r="Q10" i="6"/>
  <c r="Q11" i="6" s="1"/>
  <c r="P10" i="6"/>
  <c r="O10" i="6"/>
  <c r="O11" i="6" s="1"/>
  <c r="N10" i="6"/>
  <c r="N11" i="6" s="1"/>
  <c r="N17" i="6" s="1"/>
  <c r="M10" i="6"/>
  <c r="M11" i="6" s="1"/>
  <c r="AS6" i="6"/>
  <c r="AR6" i="6"/>
  <c r="AQ6" i="6"/>
  <c r="AQ17" i="6" s="1"/>
  <c r="AP6" i="6"/>
  <c r="AO6" i="6"/>
  <c r="AN6" i="6"/>
  <c r="AM6" i="6"/>
  <c r="AL6" i="6"/>
  <c r="AK6" i="6"/>
  <c r="AJ6" i="6"/>
  <c r="AI6" i="6"/>
  <c r="AI17" i="6" s="1"/>
  <c r="AH6" i="6"/>
  <c r="AG6" i="6"/>
  <c r="AF6" i="6"/>
  <c r="AE6" i="6"/>
  <c r="AD6" i="6"/>
  <c r="AC6" i="6"/>
  <c r="AB6" i="6"/>
  <c r="AA6" i="6"/>
  <c r="AA17" i="6" s="1"/>
  <c r="Z6" i="6"/>
  <c r="Y6" i="6"/>
  <c r="X6" i="6"/>
  <c r="W6" i="6"/>
  <c r="V6" i="6"/>
  <c r="U6" i="6"/>
  <c r="T6" i="6"/>
  <c r="S6" i="6"/>
  <c r="S17" i="6" s="1"/>
  <c r="R6" i="6"/>
  <c r="Q6" i="6"/>
  <c r="P6" i="6"/>
  <c r="O6" i="6"/>
  <c r="N6" i="6"/>
  <c r="M6" i="6"/>
  <c r="B6" i="6"/>
  <c r="F5" i="6"/>
  <c r="N8" i="6" s="1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K3" i="6"/>
  <c r="F21" i="5"/>
  <c r="F22" i="5" s="1"/>
  <c r="AJ17" i="5"/>
  <c r="F13" i="5"/>
  <c r="AS11" i="5"/>
  <c r="AO11" i="5"/>
  <c r="AK11" i="5"/>
  <c r="AG11" i="5"/>
  <c r="AC11" i="5"/>
  <c r="Y11" i="5"/>
  <c r="U11" i="5"/>
  <c r="Q11" i="5"/>
  <c r="M11" i="5"/>
  <c r="AS10" i="5"/>
  <c r="AR10" i="5"/>
  <c r="AR11" i="5" s="1"/>
  <c r="AQ10" i="5"/>
  <c r="AQ11" i="5" s="1"/>
  <c r="AP10" i="5"/>
  <c r="AP11" i="5" s="1"/>
  <c r="AO10" i="5"/>
  <c r="AN10" i="5"/>
  <c r="AN11" i="5" s="1"/>
  <c r="AM10" i="5"/>
  <c r="AM11" i="5" s="1"/>
  <c r="AL10" i="5"/>
  <c r="AL11" i="5" s="1"/>
  <c r="AK10" i="5"/>
  <c r="AJ10" i="5"/>
  <c r="AJ11" i="5" s="1"/>
  <c r="AI10" i="5"/>
  <c r="AI11" i="5" s="1"/>
  <c r="AI13" i="5" s="1"/>
  <c r="AH10" i="5"/>
  <c r="AH11" i="5" s="1"/>
  <c r="AG10" i="5"/>
  <c r="AF10" i="5"/>
  <c r="AF11" i="5" s="1"/>
  <c r="AE10" i="5"/>
  <c r="AE11" i="5" s="1"/>
  <c r="AE13" i="5" s="1"/>
  <c r="AD10" i="5"/>
  <c r="AD11" i="5" s="1"/>
  <c r="AC10" i="5"/>
  <c r="AB10" i="5"/>
  <c r="AB11" i="5" s="1"/>
  <c r="AA10" i="5"/>
  <c r="AA11" i="5" s="1"/>
  <c r="Z10" i="5"/>
  <c r="Z11" i="5" s="1"/>
  <c r="Y10" i="5"/>
  <c r="X10" i="5"/>
  <c r="X11" i="5" s="1"/>
  <c r="W10" i="5"/>
  <c r="W11" i="5" s="1"/>
  <c r="V10" i="5"/>
  <c r="V11" i="5" s="1"/>
  <c r="U10" i="5"/>
  <c r="T10" i="5"/>
  <c r="T11" i="5" s="1"/>
  <c r="S10" i="5"/>
  <c r="S11" i="5" s="1"/>
  <c r="S13" i="5" s="1"/>
  <c r="R10" i="5"/>
  <c r="R11" i="5" s="1"/>
  <c r="Q10" i="5"/>
  <c r="P10" i="5"/>
  <c r="P11" i="5" s="1"/>
  <c r="O10" i="5"/>
  <c r="O11" i="5" s="1"/>
  <c r="O13" i="5" s="1"/>
  <c r="N10" i="5"/>
  <c r="N11" i="5" s="1"/>
  <c r="M10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T17" i="5" s="1"/>
  <c r="S6" i="5"/>
  <c r="R6" i="5"/>
  <c r="Q6" i="5"/>
  <c r="P6" i="5"/>
  <c r="O6" i="5"/>
  <c r="N6" i="5"/>
  <c r="M6" i="5"/>
  <c r="B6" i="5"/>
  <c r="F5" i="5"/>
  <c r="AR8" i="5" s="1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K4" i="5" s="1"/>
  <c r="K3" i="5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M21" i="4"/>
  <c r="F23" i="4"/>
  <c r="F22" i="4"/>
  <c r="AI17" i="4"/>
  <c r="AE17" i="4"/>
  <c r="O17" i="4"/>
  <c r="O13" i="4"/>
  <c r="F13" i="4"/>
  <c r="AQ13" i="4" s="1"/>
  <c r="AN11" i="4"/>
  <c r="AJ11" i="4"/>
  <c r="AJ13" i="4" s="1"/>
  <c r="AB11" i="4"/>
  <c r="X11" i="4"/>
  <c r="X13" i="4" s="1"/>
  <c r="P11" i="4"/>
  <c r="AS10" i="4"/>
  <c r="AS11" i="4" s="1"/>
  <c r="AR10" i="4"/>
  <c r="AR11" i="4" s="1"/>
  <c r="AQ10" i="4"/>
  <c r="AQ11" i="4" s="1"/>
  <c r="AP10" i="4"/>
  <c r="AP11" i="4" s="1"/>
  <c r="AO10" i="4"/>
  <c r="AO11" i="4" s="1"/>
  <c r="AN10" i="4"/>
  <c r="AM10" i="4"/>
  <c r="AM11" i="4" s="1"/>
  <c r="AL10" i="4"/>
  <c r="AL11" i="4" s="1"/>
  <c r="AK10" i="4"/>
  <c r="AK11" i="4" s="1"/>
  <c r="AJ10" i="4"/>
  <c r="AI10" i="4"/>
  <c r="AI11" i="4" s="1"/>
  <c r="AH10" i="4"/>
  <c r="AH11" i="4" s="1"/>
  <c r="AG10" i="4"/>
  <c r="AG11" i="4" s="1"/>
  <c r="AF10" i="4"/>
  <c r="AF11" i="4" s="1"/>
  <c r="AF13" i="4" s="1"/>
  <c r="AE10" i="4"/>
  <c r="AE11" i="4" s="1"/>
  <c r="AD10" i="4"/>
  <c r="AD11" i="4" s="1"/>
  <c r="AC10" i="4"/>
  <c r="AC11" i="4" s="1"/>
  <c r="AB10" i="4"/>
  <c r="AA10" i="4"/>
  <c r="AA11" i="4" s="1"/>
  <c r="Z10" i="4"/>
  <c r="Z11" i="4" s="1"/>
  <c r="Y10" i="4"/>
  <c r="Y11" i="4" s="1"/>
  <c r="X10" i="4"/>
  <c r="W10" i="4"/>
  <c r="W11" i="4" s="1"/>
  <c r="V10" i="4"/>
  <c r="V11" i="4" s="1"/>
  <c r="U10" i="4"/>
  <c r="U11" i="4" s="1"/>
  <c r="T10" i="4"/>
  <c r="T11" i="4" s="1"/>
  <c r="T13" i="4" s="1"/>
  <c r="S10" i="4"/>
  <c r="S11" i="4" s="1"/>
  <c r="R10" i="4"/>
  <c r="R11" i="4" s="1"/>
  <c r="Q10" i="4"/>
  <c r="Q11" i="4" s="1"/>
  <c r="P10" i="4"/>
  <c r="O10" i="4"/>
  <c r="O11" i="4" s="1"/>
  <c r="N10" i="4"/>
  <c r="N11" i="4" s="1"/>
  <c r="M10" i="4"/>
  <c r="M11" i="4" s="1"/>
  <c r="AS8" i="4"/>
  <c r="AS22" i="4" s="1"/>
  <c r="AS23" i="4" s="1"/>
  <c r="AR8" i="4"/>
  <c r="AQ8" i="4"/>
  <c r="AN8" i="4"/>
  <c r="AM8" i="4"/>
  <c r="AK8" i="4"/>
  <c r="AI8" i="4"/>
  <c r="AI9" i="4" s="1"/>
  <c r="AG8" i="4"/>
  <c r="AG22" i="4" s="1"/>
  <c r="AG23" i="4" s="1"/>
  <c r="AF8" i="4"/>
  <c r="AC8" i="4"/>
  <c r="AC22" i="4" s="1"/>
  <c r="AC23" i="4" s="1"/>
  <c r="AB8" i="4"/>
  <c r="AA8" i="4"/>
  <c r="X8" i="4"/>
  <c r="X9" i="4" s="1"/>
  <c r="W8" i="4"/>
  <c r="U8" i="4"/>
  <c r="S8" i="4"/>
  <c r="Q8" i="4"/>
  <c r="Q22" i="4" s="1"/>
  <c r="Q23" i="4" s="1"/>
  <c r="P8" i="4"/>
  <c r="M8" i="4"/>
  <c r="M22" i="4" s="1"/>
  <c r="M23" i="4" s="1"/>
  <c r="AS6" i="4"/>
  <c r="AR6" i="4"/>
  <c r="AQ6" i="4"/>
  <c r="AP6" i="4"/>
  <c r="AO6" i="4"/>
  <c r="AN6" i="4"/>
  <c r="AN17" i="4" s="1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X17" i="4" s="1"/>
  <c r="W6" i="4"/>
  <c r="V6" i="4"/>
  <c r="U6" i="4"/>
  <c r="T6" i="4"/>
  <c r="S6" i="4"/>
  <c r="R6" i="4"/>
  <c r="Q6" i="4"/>
  <c r="P6" i="4"/>
  <c r="P17" i="4" s="1"/>
  <c r="O6" i="4"/>
  <c r="N6" i="4"/>
  <c r="M6" i="4"/>
  <c r="B6" i="4"/>
  <c r="F5" i="4"/>
  <c r="AP8" i="4" s="1"/>
  <c r="AS4" i="4"/>
  <c r="AR4" i="4"/>
  <c r="AQ4" i="4"/>
  <c r="AP4" i="4"/>
  <c r="AO4" i="4"/>
  <c r="AN4" i="4"/>
  <c r="AN9" i="4" s="1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K3" i="4"/>
  <c r="M26" i="2"/>
  <c r="AD13" i="7" l="1"/>
  <c r="AH13" i="7"/>
  <c r="R8" i="7"/>
  <c r="AM8" i="7"/>
  <c r="AM14" i="7" s="1"/>
  <c r="AM15" i="7" s="1"/>
  <c r="W8" i="7"/>
  <c r="W9" i="7" s="1"/>
  <c r="AR8" i="7"/>
  <c r="AR21" i="7" s="1"/>
  <c r="AR22" i="7" s="1"/>
  <c r="AB8" i="7"/>
  <c r="AB21" i="7" s="1"/>
  <c r="AB22" i="7" s="1"/>
  <c r="L8" i="7"/>
  <c r="L21" i="7" s="1"/>
  <c r="L22" i="7" s="1"/>
  <c r="AH8" i="7"/>
  <c r="AH9" i="7" s="1"/>
  <c r="N17" i="7"/>
  <c r="AO17" i="7"/>
  <c r="N8" i="7"/>
  <c r="N21" i="7" s="1"/>
  <c r="N22" i="7" s="1"/>
  <c r="S8" i="7"/>
  <c r="S14" i="7" s="1"/>
  <c r="S15" i="7" s="1"/>
  <c r="X8" i="7"/>
  <c r="X21" i="7" s="1"/>
  <c r="X22" i="7" s="1"/>
  <c r="AD8" i="7"/>
  <c r="AI8" i="7"/>
  <c r="AI9" i="7" s="1"/>
  <c r="AN8" i="7"/>
  <c r="AN9" i="7" s="1"/>
  <c r="V17" i="7"/>
  <c r="Z17" i="7"/>
  <c r="AL17" i="7"/>
  <c r="AP17" i="7"/>
  <c r="R17" i="7"/>
  <c r="R18" i="7" s="1"/>
  <c r="R19" i="7" s="1"/>
  <c r="J4" i="7"/>
  <c r="R9" i="7"/>
  <c r="O17" i="7"/>
  <c r="O18" i="7" s="1"/>
  <c r="O19" i="7" s="1"/>
  <c r="S17" i="7"/>
  <c r="W17" i="7"/>
  <c r="AE17" i="7"/>
  <c r="AI17" i="7"/>
  <c r="AI18" i="7" s="1"/>
  <c r="AI19" i="7" s="1"/>
  <c r="AM17" i="7"/>
  <c r="AM18" i="7" s="1"/>
  <c r="AM19" i="7" s="1"/>
  <c r="O8" i="7"/>
  <c r="T8" i="7"/>
  <c r="T9" i="7" s="1"/>
  <c r="Z8" i="7"/>
  <c r="Z18" i="7" s="1"/>
  <c r="Z19" i="7" s="1"/>
  <c r="AE8" i="7"/>
  <c r="AE21" i="7" s="1"/>
  <c r="AE22" i="7" s="1"/>
  <c r="AJ8" i="7"/>
  <c r="AP8" i="7"/>
  <c r="AP21" i="7" s="1"/>
  <c r="AP22" i="7" s="1"/>
  <c r="Z13" i="7"/>
  <c r="AP13" i="7"/>
  <c r="AD17" i="7"/>
  <c r="Y17" i="7"/>
  <c r="AM9" i="7"/>
  <c r="P8" i="7"/>
  <c r="P21" i="7" s="1"/>
  <c r="P22" i="7" s="1"/>
  <c r="V8" i="7"/>
  <c r="AA8" i="7"/>
  <c r="AA21" i="7" s="1"/>
  <c r="AA22" i="7" s="1"/>
  <c r="AF8" i="7"/>
  <c r="AF21" i="7" s="1"/>
  <c r="AF22" i="7" s="1"/>
  <c r="AL8" i="7"/>
  <c r="AL9" i="7" s="1"/>
  <c r="AQ8" i="7"/>
  <c r="AH17" i="7"/>
  <c r="AK17" i="7"/>
  <c r="AK13" i="7"/>
  <c r="U17" i="7"/>
  <c r="U13" i="7"/>
  <c r="L13" i="7"/>
  <c r="L14" i="7" s="1"/>
  <c r="L15" i="7" s="1"/>
  <c r="L17" i="7"/>
  <c r="L18" i="7" s="1"/>
  <c r="L19" i="7" s="1"/>
  <c r="P13" i="7"/>
  <c r="P17" i="7"/>
  <c r="AB13" i="7"/>
  <c r="AB14" i="7" s="1"/>
  <c r="AB15" i="7" s="1"/>
  <c r="AB17" i="7"/>
  <c r="AB18" i="7" s="1"/>
  <c r="AB19" i="7" s="1"/>
  <c r="AF13" i="7"/>
  <c r="AF17" i="7"/>
  <c r="AR13" i="7"/>
  <c r="AR17" i="7"/>
  <c r="AO21" i="7"/>
  <c r="AO22" i="7" s="1"/>
  <c r="AO18" i="7"/>
  <c r="AO19" i="7" s="1"/>
  <c r="N14" i="7"/>
  <c r="N15" i="7" s="1"/>
  <c r="AD14" i="7"/>
  <c r="AD15" i="7" s="1"/>
  <c r="AD21" i="7"/>
  <c r="AD22" i="7" s="1"/>
  <c r="AD18" i="7"/>
  <c r="AD19" i="7" s="1"/>
  <c r="T13" i="7"/>
  <c r="T14" i="7" s="1"/>
  <c r="T15" i="7" s="1"/>
  <c r="T17" i="7"/>
  <c r="X13" i="7"/>
  <c r="X17" i="7"/>
  <c r="AJ13" i="7"/>
  <c r="AJ14" i="7" s="1"/>
  <c r="AJ15" i="7" s="1"/>
  <c r="AJ17" i="7"/>
  <c r="AJ18" i="7" s="1"/>
  <c r="AJ19" i="7" s="1"/>
  <c r="AN13" i="7"/>
  <c r="AN17" i="7"/>
  <c r="Q17" i="7"/>
  <c r="Q13" i="7"/>
  <c r="AA17" i="7"/>
  <c r="AA13" i="7"/>
  <c r="AA14" i="7" s="1"/>
  <c r="AA15" i="7" s="1"/>
  <c r="AG17" i="7"/>
  <c r="AG13" i="7"/>
  <c r="AQ17" i="7"/>
  <c r="AQ18" i="7" s="1"/>
  <c r="AQ19" i="7" s="1"/>
  <c r="AQ13" i="7"/>
  <c r="AQ14" i="7" s="1"/>
  <c r="AQ15" i="7" s="1"/>
  <c r="AI14" i="7"/>
  <c r="AI15" i="7" s="1"/>
  <c r="O21" i="7"/>
  <c r="O22" i="7" s="1"/>
  <c r="O14" i="7"/>
  <c r="O15" i="7" s="1"/>
  <c r="O9" i="7"/>
  <c r="AP9" i="7"/>
  <c r="N9" i="7"/>
  <c r="M17" i="7"/>
  <c r="M13" i="7"/>
  <c r="AC17" i="7"/>
  <c r="AC13" i="7"/>
  <c r="AO13" i="7"/>
  <c r="AO14" i="7" s="1"/>
  <c r="AO15" i="7" s="1"/>
  <c r="V9" i="7"/>
  <c r="V21" i="7"/>
  <c r="V22" i="7" s="1"/>
  <c r="AA9" i="7"/>
  <c r="AQ21" i="7"/>
  <c r="AQ22" i="7" s="1"/>
  <c r="AQ9" i="7"/>
  <c r="R14" i="7"/>
  <c r="R15" i="7" s="1"/>
  <c r="R21" i="7"/>
  <c r="R22" i="7" s="1"/>
  <c r="AM21" i="7"/>
  <c r="AM22" i="7" s="1"/>
  <c r="AD9" i="7"/>
  <c r="AO9" i="7"/>
  <c r="Y13" i="7"/>
  <c r="L9" i="7"/>
  <c r="AB9" i="7"/>
  <c r="AJ9" i="7"/>
  <c r="V13" i="7"/>
  <c r="V14" i="7" s="1"/>
  <c r="V15" i="7" s="1"/>
  <c r="AL13" i="7"/>
  <c r="M8" i="7"/>
  <c r="Q8" i="7"/>
  <c r="U8" i="7"/>
  <c r="Y8" i="7"/>
  <c r="AC8" i="7"/>
  <c r="AG8" i="7"/>
  <c r="AK8" i="7"/>
  <c r="T21" i="7"/>
  <c r="T22" i="7" s="1"/>
  <c r="AJ21" i="7"/>
  <c r="AJ22" i="7" s="1"/>
  <c r="AM13" i="6"/>
  <c r="W13" i="6"/>
  <c r="S13" i="6"/>
  <c r="AA13" i="6"/>
  <c r="AI13" i="6"/>
  <c r="AQ13" i="6"/>
  <c r="O13" i="6"/>
  <c r="X13" i="6"/>
  <c r="AN13" i="6"/>
  <c r="K4" i="6"/>
  <c r="P13" i="5"/>
  <c r="T13" i="5"/>
  <c r="X13" i="5"/>
  <c r="AB13" i="5"/>
  <c r="AF13" i="5"/>
  <c r="AJ13" i="5"/>
  <c r="AN13" i="5"/>
  <c r="AR13" i="5"/>
  <c r="AR14" i="5" s="1"/>
  <c r="AR15" i="5" s="1"/>
  <c r="AD8" i="6"/>
  <c r="M13" i="6"/>
  <c r="M17" i="6"/>
  <c r="U13" i="6"/>
  <c r="U17" i="6"/>
  <c r="AC13" i="6"/>
  <c r="AC17" i="6"/>
  <c r="AK13" i="6"/>
  <c r="AK17" i="6"/>
  <c r="AO13" i="6"/>
  <c r="AO17" i="6"/>
  <c r="AB13" i="6"/>
  <c r="AB17" i="6"/>
  <c r="AR13" i="6"/>
  <c r="AR17" i="6"/>
  <c r="AS8" i="6"/>
  <c r="AO8" i="6"/>
  <c r="AK8" i="6"/>
  <c r="AG8" i="6"/>
  <c r="AC8" i="6"/>
  <c r="Y8" i="6"/>
  <c r="U8" i="6"/>
  <c r="Q8" i="6"/>
  <c r="M8" i="6"/>
  <c r="AQ8" i="6"/>
  <c r="AE8" i="6"/>
  <c r="W8" i="6"/>
  <c r="S8" i="6"/>
  <c r="AR8" i="6"/>
  <c r="AN8" i="6"/>
  <c r="AJ8" i="6"/>
  <c r="AF8" i="6"/>
  <c r="AB8" i="6"/>
  <c r="X8" i="6"/>
  <c r="T8" i="6"/>
  <c r="P8" i="6"/>
  <c r="AM8" i="6"/>
  <c r="AI8" i="6"/>
  <c r="AA8" i="6"/>
  <c r="O8" i="6"/>
  <c r="AH8" i="6"/>
  <c r="V8" i="6"/>
  <c r="AL8" i="6"/>
  <c r="O17" i="6"/>
  <c r="W17" i="6"/>
  <c r="AE17" i="6"/>
  <c r="AM17" i="6"/>
  <c r="T13" i="6"/>
  <c r="T17" i="6"/>
  <c r="AJ13" i="6"/>
  <c r="AJ17" i="6"/>
  <c r="N21" i="6"/>
  <c r="N22" i="6" s="1"/>
  <c r="N18" i="6"/>
  <c r="N19" i="6" s="1"/>
  <c r="AD21" i="6"/>
  <c r="AD22" i="6" s="1"/>
  <c r="AD18" i="6"/>
  <c r="AD19" i="6" s="1"/>
  <c r="N9" i="6"/>
  <c r="Q13" i="6"/>
  <c r="Q17" i="6"/>
  <c r="Y13" i="6"/>
  <c r="Y17" i="6"/>
  <c r="AG13" i="6"/>
  <c r="AG17" i="6"/>
  <c r="AS13" i="6"/>
  <c r="AS17" i="6"/>
  <c r="R8" i="6"/>
  <c r="AD9" i="6"/>
  <c r="Z8" i="6"/>
  <c r="AP8" i="6"/>
  <c r="R13" i="6"/>
  <c r="AH13" i="6"/>
  <c r="Z13" i="6"/>
  <c r="AP13" i="6"/>
  <c r="N13" i="6"/>
  <c r="N14" i="6" s="1"/>
  <c r="N15" i="6" s="1"/>
  <c r="V13" i="6"/>
  <c r="AD13" i="6"/>
  <c r="AD14" i="6" s="1"/>
  <c r="AD15" i="6" s="1"/>
  <c r="AL13" i="6"/>
  <c r="O8" i="5"/>
  <c r="W8" i="5"/>
  <c r="AE8" i="5"/>
  <c r="AM8" i="5"/>
  <c r="AK13" i="5"/>
  <c r="AK17" i="5"/>
  <c r="X17" i="5"/>
  <c r="AN17" i="5"/>
  <c r="P8" i="5"/>
  <c r="T8" i="5"/>
  <c r="X8" i="5"/>
  <c r="AB8" i="5"/>
  <c r="AF8" i="5"/>
  <c r="AJ8" i="5"/>
  <c r="AN8" i="5"/>
  <c r="AS8" i="5"/>
  <c r="Y13" i="5"/>
  <c r="Y17" i="5"/>
  <c r="AO13" i="5"/>
  <c r="AO17" i="5"/>
  <c r="AB17" i="5"/>
  <c r="AR17" i="5"/>
  <c r="AR21" i="5"/>
  <c r="AR22" i="5" s="1"/>
  <c r="AR18" i="5"/>
  <c r="AR19" i="5" s="1"/>
  <c r="AR9" i="5"/>
  <c r="N8" i="5"/>
  <c r="R8" i="5"/>
  <c r="V8" i="5"/>
  <c r="Z8" i="5"/>
  <c r="AD8" i="5"/>
  <c r="AH8" i="5"/>
  <c r="AL8" i="5"/>
  <c r="AP8" i="5"/>
  <c r="O17" i="5"/>
  <c r="S17" i="5"/>
  <c r="W17" i="5"/>
  <c r="AA17" i="5"/>
  <c r="AE17" i="5"/>
  <c r="AI17" i="5"/>
  <c r="AM17" i="5"/>
  <c r="AQ17" i="5"/>
  <c r="Q13" i="5"/>
  <c r="Q17" i="5"/>
  <c r="AG13" i="5"/>
  <c r="AG17" i="5"/>
  <c r="AA13" i="5"/>
  <c r="AQ13" i="5"/>
  <c r="S8" i="5"/>
  <c r="AA8" i="5"/>
  <c r="AI8" i="5"/>
  <c r="AQ8" i="5"/>
  <c r="U13" i="5"/>
  <c r="U17" i="5"/>
  <c r="M8" i="5"/>
  <c r="Q8" i="5"/>
  <c r="U8" i="5"/>
  <c r="Y8" i="5"/>
  <c r="AC8" i="5"/>
  <c r="AG8" i="5"/>
  <c r="AK8" i="5"/>
  <c r="AO8" i="5"/>
  <c r="N17" i="5"/>
  <c r="N13" i="5"/>
  <c r="R17" i="5"/>
  <c r="R13" i="5"/>
  <c r="V17" i="5"/>
  <c r="V13" i="5"/>
  <c r="Z17" i="5"/>
  <c r="Z13" i="5"/>
  <c r="AD17" i="5"/>
  <c r="AD13" i="5"/>
  <c r="AH17" i="5"/>
  <c r="AH13" i="5"/>
  <c r="AL17" i="5"/>
  <c r="AL13" i="5"/>
  <c r="AP17" i="5"/>
  <c r="AP13" i="5"/>
  <c r="M13" i="5"/>
  <c r="M17" i="5"/>
  <c r="AC13" i="5"/>
  <c r="AC17" i="5"/>
  <c r="AS13" i="5"/>
  <c r="AS17" i="5"/>
  <c r="W13" i="5"/>
  <c r="AM13" i="5"/>
  <c r="P17" i="5"/>
  <c r="AF17" i="5"/>
  <c r="AE13" i="4"/>
  <c r="P13" i="4"/>
  <c r="AN13" i="4"/>
  <c r="AN14" i="4" s="1"/>
  <c r="AN15" i="4" s="1"/>
  <c r="Z17" i="4"/>
  <c r="AP17" i="4"/>
  <c r="AP18" i="4" s="1"/>
  <c r="AP19" i="4" s="1"/>
  <c r="O8" i="4"/>
  <c r="O18" i="4" s="1"/>
  <c r="O19" i="4" s="1"/>
  <c r="T8" i="4"/>
  <c r="Y8" i="4"/>
  <c r="AE8" i="4"/>
  <c r="AE22" i="4" s="1"/>
  <c r="AE23" i="4" s="1"/>
  <c r="AJ8" i="4"/>
  <c r="AJ14" i="4" s="1"/>
  <c r="AJ15" i="4" s="1"/>
  <c r="AO8" i="4"/>
  <c r="S13" i="4"/>
  <c r="W17" i="4"/>
  <c r="W18" i="4" s="1"/>
  <c r="W19" i="4" s="1"/>
  <c r="AA17" i="4"/>
  <c r="AA18" i="4" s="1"/>
  <c r="AA19" i="4" s="1"/>
  <c r="AI13" i="4"/>
  <c r="AM17" i="4"/>
  <c r="AQ17" i="4"/>
  <c r="AQ18" i="4" s="1"/>
  <c r="AQ19" i="4" s="1"/>
  <c r="S17" i="4"/>
  <c r="K4" i="4"/>
  <c r="S9" i="4"/>
  <c r="T17" i="4"/>
  <c r="AF17" i="4"/>
  <c r="AF18" i="4" s="1"/>
  <c r="AF19" i="4" s="1"/>
  <c r="AJ17" i="4"/>
  <c r="AA13" i="4"/>
  <c r="AA14" i="4" s="1"/>
  <c r="AA15" i="4" s="1"/>
  <c r="V17" i="4"/>
  <c r="V13" i="4"/>
  <c r="AL17" i="4"/>
  <c r="AL13" i="4"/>
  <c r="M13" i="4"/>
  <c r="M14" i="4" s="1"/>
  <c r="M15" i="4" s="1"/>
  <c r="M17" i="4"/>
  <c r="M18" i="4" s="1"/>
  <c r="M19" i="4" s="1"/>
  <c r="Q13" i="4"/>
  <c r="Q17" i="4"/>
  <c r="Q18" i="4" s="1"/>
  <c r="Q19" i="4" s="1"/>
  <c r="AC13" i="4"/>
  <c r="AC14" i="4" s="1"/>
  <c r="AC15" i="4" s="1"/>
  <c r="AC17" i="4"/>
  <c r="AC18" i="4" s="1"/>
  <c r="AC19" i="4" s="1"/>
  <c r="AG13" i="4"/>
  <c r="AG14" i="4" s="1"/>
  <c r="AG15" i="4" s="1"/>
  <c r="AG17" i="4"/>
  <c r="AG18" i="4" s="1"/>
  <c r="AG19" i="4" s="1"/>
  <c r="AS13" i="4"/>
  <c r="AS14" i="4" s="1"/>
  <c r="AS15" i="4" s="1"/>
  <c r="AS17" i="4"/>
  <c r="AS18" i="4" s="1"/>
  <c r="AS19" i="4" s="1"/>
  <c r="AP22" i="4"/>
  <c r="AP23" i="4" s="1"/>
  <c r="O22" i="4"/>
  <c r="O23" i="4" s="1"/>
  <c r="T22" i="4"/>
  <c r="T23" i="4" s="1"/>
  <c r="T18" i="4"/>
  <c r="T19" i="4" s="1"/>
  <c r="AE14" i="4"/>
  <c r="AE15" i="4" s="1"/>
  <c r="AJ18" i="4"/>
  <c r="AJ19" i="4" s="1"/>
  <c r="U13" i="4"/>
  <c r="U14" i="4" s="1"/>
  <c r="U15" i="4" s="1"/>
  <c r="U17" i="4"/>
  <c r="Y13" i="4"/>
  <c r="Y14" i="4" s="1"/>
  <c r="Y15" i="4" s="1"/>
  <c r="Y17" i="4"/>
  <c r="Y18" i="4" s="1"/>
  <c r="Y19" i="4" s="1"/>
  <c r="AK13" i="4"/>
  <c r="AK14" i="4" s="1"/>
  <c r="AK15" i="4" s="1"/>
  <c r="AK17" i="4"/>
  <c r="AO13" i="4"/>
  <c r="AO14" i="4" s="1"/>
  <c r="AO15" i="4" s="1"/>
  <c r="AO17" i="4"/>
  <c r="AO18" i="4" s="1"/>
  <c r="AO19" i="4" s="1"/>
  <c r="R17" i="4"/>
  <c r="R13" i="4"/>
  <c r="AB17" i="4"/>
  <c r="AB13" i="4"/>
  <c r="AH17" i="4"/>
  <c r="AH13" i="4"/>
  <c r="AR17" i="4"/>
  <c r="AR18" i="4" s="1"/>
  <c r="AR19" i="4" s="1"/>
  <c r="AR13" i="4"/>
  <c r="AR14" i="4" s="1"/>
  <c r="AR15" i="4" s="1"/>
  <c r="P22" i="4"/>
  <c r="P23" i="4" s="1"/>
  <c r="P18" i="4"/>
  <c r="P19" i="4" s="1"/>
  <c r="P14" i="4"/>
  <c r="P15" i="4" s="1"/>
  <c r="P9" i="4"/>
  <c r="AA9" i="4"/>
  <c r="AF22" i="4"/>
  <c r="AF23" i="4" s="1"/>
  <c r="AF14" i="4"/>
  <c r="AF15" i="4" s="1"/>
  <c r="AF9" i="4"/>
  <c r="AQ14" i="4"/>
  <c r="AQ15" i="4" s="1"/>
  <c r="AQ9" i="4"/>
  <c r="N17" i="4"/>
  <c r="N13" i="4"/>
  <c r="AD17" i="4"/>
  <c r="AD13" i="4"/>
  <c r="AP13" i="4"/>
  <c r="AP14" i="4" s="1"/>
  <c r="AP15" i="4" s="1"/>
  <c r="W9" i="4"/>
  <c r="W22" i="4"/>
  <c r="W23" i="4" s="1"/>
  <c r="AB22" i="4"/>
  <c r="AB23" i="4" s="1"/>
  <c r="AB18" i="4"/>
  <c r="AB19" i="4" s="1"/>
  <c r="AB14" i="4"/>
  <c r="AB15" i="4" s="1"/>
  <c r="AB9" i="4"/>
  <c r="AM9" i="4"/>
  <c r="AM22" i="4"/>
  <c r="AM23" i="4" s="1"/>
  <c r="AM18" i="4"/>
  <c r="AM19" i="4" s="1"/>
  <c r="AR22" i="4"/>
  <c r="AR23" i="4" s="1"/>
  <c r="AR9" i="4"/>
  <c r="T14" i="4"/>
  <c r="T15" i="4" s="1"/>
  <c r="S14" i="4"/>
  <c r="S15" i="4" s="1"/>
  <c r="S22" i="4"/>
  <c r="S23" i="4" s="1"/>
  <c r="S18" i="4"/>
  <c r="S19" i="4" s="1"/>
  <c r="X22" i="4"/>
  <c r="X23" i="4" s="1"/>
  <c r="X18" i="4"/>
  <c r="X19" i="4" s="1"/>
  <c r="AI14" i="4"/>
  <c r="AI15" i="4" s="1"/>
  <c r="AI22" i="4"/>
  <c r="AI23" i="4" s="1"/>
  <c r="AI18" i="4"/>
  <c r="AI19" i="4" s="1"/>
  <c r="AN22" i="4"/>
  <c r="AN23" i="4" s="1"/>
  <c r="AN18" i="4"/>
  <c r="AN19" i="4" s="1"/>
  <c r="T9" i="4"/>
  <c r="AP9" i="4"/>
  <c r="Z13" i="4"/>
  <c r="X14" i="4"/>
  <c r="X15" i="4" s="1"/>
  <c r="AA22" i="4"/>
  <c r="AA23" i="4" s="1"/>
  <c r="AQ22" i="4"/>
  <c r="AQ23" i="4" s="1"/>
  <c r="M9" i="4"/>
  <c r="Q9" i="4"/>
  <c r="U9" i="4"/>
  <c r="Y9" i="4"/>
  <c r="AC9" i="4"/>
  <c r="AG9" i="4"/>
  <c r="AK9" i="4"/>
  <c r="AO9" i="4"/>
  <c r="AS9" i="4"/>
  <c r="W13" i="4"/>
  <c r="W14" i="4" s="1"/>
  <c r="W15" i="4" s="1"/>
  <c r="AM13" i="4"/>
  <c r="AM14" i="4" s="1"/>
  <c r="AM15" i="4" s="1"/>
  <c r="Y22" i="4"/>
  <c r="Y23" i="4" s="1"/>
  <c r="AO22" i="4"/>
  <c r="AO23" i="4" s="1"/>
  <c r="N8" i="4"/>
  <c r="R8" i="4"/>
  <c r="V8" i="4"/>
  <c r="Z8" i="4"/>
  <c r="AD8" i="4"/>
  <c r="AH8" i="4"/>
  <c r="AL8" i="4"/>
  <c r="Q14" i="4"/>
  <c r="Q15" i="4" s="1"/>
  <c r="U18" i="4"/>
  <c r="U19" i="4" s="1"/>
  <c r="AK18" i="4"/>
  <c r="AK19" i="4" s="1"/>
  <c r="U22" i="4"/>
  <c r="U23" i="4" s="1"/>
  <c r="AK22" i="4"/>
  <c r="AK23" i="4" s="1"/>
  <c r="W21" i="7" l="1"/>
  <c r="W22" i="7" s="1"/>
  <c r="P9" i="7"/>
  <c r="AR14" i="7"/>
  <c r="AR15" i="7" s="1"/>
  <c r="AH18" i="7"/>
  <c r="AH19" i="7" s="1"/>
  <c r="X18" i="7"/>
  <c r="X19" i="7" s="1"/>
  <c r="AL18" i="7"/>
  <c r="AL19" i="7" s="1"/>
  <c r="P14" i="7"/>
  <c r="P15" i="7" s="1"/>
  <c r="W18" i="7"/>
  <c r="W19" i="7" s="1"/>
  <c r="AN18" i="7"/>
  <c r="AN19" i="7" s="1"/>
  <c r="T18" i="7"/>
  <c r="T19" i="7" s="1"/>
  <c r="AH21" i="7"/>
  <c r="AH22" i="7" s="1"/>
  <c r="AA18" i="7"/>
  <c r="AA19" i="7" s="1"/>
  <c r="AN14" i="7"/>
  <c r="AN15" i="7" s="1"/>
  <c r="AI21" i="7"/>
  <c r="AI22" i="7" s="1"/>
  <c r="N18" i="7"/>
  <c r="N19" i="7" s="1"/>
  <c r="AF9" i="7"/>
  <c r="AN21" i="7"/>
  <c r="AN22" i="7" s="1"/>
  <c r="AR9" i="7"/>
  <c r="W14" i="7"/>
  <c r="W15" i="7" s="1"/>
  <c r="S9" i="7"/>
  <c r="AH14" i="7"/>
  <c r="AH15" i="7" s="1"/>
  <c r="Z9" i="7"/>
  <c r="AR18" i="7"/>
  <c r="AR19" i="7" s="1"/>
  <c r="AP14" i="7"/>
  <c r="AP15" i="7" s="1"/>
  <c r="AE18" i="7"/>
  <c r="AE19" i="7" s="1"/>
  <c r="S18" i="7"/>
  <c r="S19" i="7" s="1"/>
  <c r="V18" i="7"/>
  <c r="V19" i="7" s="1"/>
  <c r="AL21" i="7"/>
  <c r="AL22" i="7" s="1"/>
  <c r="X9" i="7"/>
  <c r="AE14" i="7"/>
  <c r="AE15" i="7" s="1"/>
  <c r="Z14" i="7"/>
  <c r="Z15" i="7" s="1"/>
  <c r="S21" i="7"/>
  <c r="S22" i="7" s="1"/>
  <c r="AF18" i="7"/>
  <c r="AF19" i="7" s="1"/>
  <c r="P18" i="7"/>
  <c r="P19" i="7" s="1"/>
  <c r="AP18" i="7"/>
  <c r="AP19" i="7" s="1"/>
  <c r="AE9" i="7"/>
  <c r="X14" i="7"/>
  <c r="X15" i="7" s="1"/>
  <c r="AL14" i="7"/>
  <c r="AL15" i="7" s="1"/>
  <c r="Z21" i="7"/>
  <c r="Z22" i="7" s="1"/>
  <c r="AF14" i="7"/>
  <c r="AF15" i="7" s="1"/>
  <c r="Y21" i="7"/>
  <c r="Y22" i="7" s="1"/>
  <c r="Y18" i="7"/>
  <c r="Y19" i="7" s="1"/>
  <c r="Y14" i="7"/>
  <c r="Y15" i="7" s="1"/>
  <c r="Y9" i="7"/>
  <c r="AK14" i="7"/>
  <c r="AK15" i="7" s="1"/>
  <c r="AK9" i="7"/>
  <c r="AK18" i="7"/>
  <c r="AK19" i="7" s="1"/>
  <c r="AK21" i="7"/>
  <c r="AK22" i="7" s="1"/>
  <c r="AG9" i="7"/>
  <c r="AG21" i="7"/>
  <c r="AG22" i="7" s="1"/>
  <c r="AG18" i="7"/>
  <c r="AG19" i="7" s="1"/>
  <c r="AG14" i="7"/>
  <c r="AG15" i="7" s="1"/>
  <c r="Q9" i="7"/>
  <c r="Q21" i="7"/>
  <c r="Q22" i="7" s="1"/>
  <c r="Q18" i="7"/>
  <c r="Q19" i="7" s="1"/>
  <c r="Q14" i="7"/>
  <c r="Q15" i="7" s="1"/>
  <c r="U14" i="7"/>
  <c r="U15" i="7" s="1"/>
  <c r="U9" i="7"/>
  <c r="U21" i="7"/>
  <c r="U22" i="7" s="1"/>
  <c r="U18" i="7"/>
  <c r="U19" i="7" s="1"/>
  <c r="AC21" i="7"/>
  <c r="AC22" i="7" s="1"/>
  <c r="AC18" i="7"/>
  <c r="AC19" i="7" s="1"/>
  <c r="AC14" i="7"/>
  <c r="AC15" i="7" s="1"/>
  <c r="AC9" i="7"/>
  <c r="M21" i="7"/>
  <c r="M22" i="7" s="1"/>
  <c r="M18" i="7"/>
  <c r="M19" i="7" s="1"/>
  <c r="M14" i="7"/>
  <c r="M15" i="7" s="1"/>
  <c r="M9" i="7"/>
  <c r="AH14" i="6"/>
  <c r="AH15" i="6" s="1"/>
  <c r="AH18" i="6"/>
  <c r="AH19" i="6" s="1"/>
  <c r="AH9" i="6"/>
  <c r="AH21" i="6"/>
  <c r="AH22" i="6" s="1"/>
  <c r="AB21" i="6"/>
  <c r="AB22" i="6" s="1"/>
  <c r="AB18" i="6"/>
  <c r="AB19" i="6" s="1"/>
  <c r="AB9" i="6"/>
  <c r="AB14" i="6"/>
  <c r="AB15" i="6" s="1"/>
  <c r="AQ14" i="6"/>
  <c r="AQ15" i="6" s="1"/>
  <c r="AQ21" i="6"/>
  <c r="AQ22" i="6" s="1"/>
  <c r="AQ18" i="6"/>
  <c r="AQ19" i="6" s="1"/>
  <c r="AQ9" i="6"/>
  <c r="P21" i="6"/>
  <c r="P22" i="6" s="1"/>
  <c r="P18" i="6"/>
  <c r="P19" i="6" s="1"/>
  <c r="P9" i="6"/>
  <c r="P14" i="6"/>
  <c r="P15" i="6" s="1"/>
  <c r="S14" i="6"/>
  <c r="S15" i="6" s="1"/>
  <c r="S21" i="6"/>
  <c r="S22" i="6" s="1"/>
  <c r="S18" i="6"/>
  <c r="S19" i="6" s="1"/>
  <c r="S9" i="6"/>
  <c r="AC9" i="6"/>
  <c r="AC18" i="6"/>
  <c r="AC19" i="6" s="1"/>
  <c r="AC14" i="6"/>
  <c r="AC15" i="6" s="1"/>
  <c r="AC21" i="6"/>
  <c r="AC22" i="6" s="1"/>
  <c r="AS9" i="6"/>
  <c r="AS18" i="6"/>
  <c r="AS19" i="6" s="1"/>
  <c r="AS14" i="6"/>
  <c r="AS15" i="6" s="1"/>
  <c r="AS21" i="6"/>
  <c r="AS22" i="6" s="1"/>
  <c r="R14" i="6"/>
  <c r="R15" i="6" s="1"/>
  <c r="R21" i="6"/>
  <c r="R22" i="6" s="1"/>
  <c r="R18" i="6"/>
  <c r="R19" i="6" s="1"/>
  <c r="R9" i="6"/>
  <c r="AL14" i="6"/>
  <c r="AL15" i="6" s="1"/>
  <c r="AL21" i="6"/>
  <c r="AL22" i="6" s="1"/>
  <c r="AL18" i="6"/>
  <c r="AL19" i="6" s="1"/>
  <c r="AL9" i="6"/>
  <c r="AA14" i="6"/>
  <c r="AA15" i="6" s="1"/>
  <c r="AA21" i="6"/>
  <c r="AA22" i="6" s="1"/>
  <c r="AA18" i="6"/>
  <c r="AA19" i="6" s="1"/>
  <c r="AA9" i="6"/>
  <c r="T21" i="6"/>
  <c r="T22" i="6" s="1"/>
  <c r="T18" i="6"/>
  <c r="T19" i="6" s="1"/>
  <c r="T9" i="6"/>
  <c r="T14" i="6"/>
  <c r="T15" i="6" s="1"/>
  <c r="AJ21" i="6"/>
  <c r="AJ22" i="6" s="1"/>
  <c r="AJ18" i="6"/>
  <c r="AJ19" i="6" s="1"/>
  <c r="AJ9" i="6"/>
  <c r="AJ14" i="6"/>
  <c r="AJ15" i="6" s="1"/>
  <c r="W14" i="6"/>
  <c r="W15" i="6" s="1"/>
  <c r="W21" i="6"/>
  <c r="W22" i="6" s="1"/>
  <c r="W18" i="6"/>
  <c r="W19" i="6" s="1"/>
  <c r="W9" i="6"/>
  <c r="Q9" i="6"/>
  <c r="Q14" i="6"/>
  <c r="Q15" i="6" s="1"/>
  <c r="Q18" i="6"/>
  <c r="Q19" i="6" s="1"/>
  <c r="Q21" i="6"/>
  <c r="Q22" i="6" s="1"/>
  <c r="AG9" i="6"/>
  <c r="AG14" i="6"/>
  <c r="AG15" i="6" s="1"/>
  <c r="AG18" i="6"/>
  <c r="AG19" i="6" s="1"/>
  <c r="AG21" i="6"/>
  <c r="AG22" i="6" s="1"/>
  <c r="Z14" i="6"/>
  <c r="Z15" i="6" s="1"/>
  <c r="Z18" i="6"/>
  <c r="Z19" i="6" s="1"/>
  <c r="Z9" i="6"/>
  <c r="Z21" i="6"/>
  <c r="Z22" i="6" s="1"/>
  <c r="AM14" i="6"/>
  <c r="AM15" i="6" s="1"/>
  <c r="AM21" i="6"/>
  <c r="AM22" i="6" s="1"/>
  <c r="AM18" i="6"/>
  <c r="AM19" i="6" s="1"/>
  <c r="AM9" i="6"/>
  <c r="AR21" i="6"/>
  <c r="AR22" i="6" s="1"/>
  <c r="AR18" i="6"/>
  <c r="AR19" i="6" s="1"/>
  <c r="AR9" i="6"/>
  <c r="AR14" i="6"/>
  <c r="AR15" i="6" s="1"/>
  <c r="Y9" i="6"/>
  <c r="Y18" i="6"/>
  <c r="Y19" i="6" s="1"/>
  <c r="Y21" i="6"/>
  <c r="Y22" i="6" s="1"/>
  <c r="Y14" i="6"/>
  <c r="Y15" i="6" s="1"/>
  <c r="AO9" i="6"/>
  <c r="AO18" i="6"/>
  <c r="AO19" i="6" s="1"/>
  <c r="AO21" i="6"/>
  <c r="AO22" i="6" s="1"/>
  <c r="AO14" i="6"/>
  <c r="AO15" i="6" s="1"/>
  <c r="O14" i="6"/>
  <c r="O15" i="6" s="1"/>
  <c r="O21" i="6"/>
  <c r="O22" i="6" s="1"/>
  <c r="O18" i="6"/>
  <c r="O19" i="6" s="1"/>
  <c r="O9" i="6"/>
  <c r="AF21" i="6"/>
  <c r="AF22" i="6" s="1"/>
  <c r="AF18" i="6"/>
  <c r="AF19" i="6" s="1"/>
  <c r="AF9" i="6"/>
  <c r="AF14" i="6"/>
  <c r="AF15" i="6" s="1"/>
  <c r="M9" i="6"/>
  <c r="M18" i="6"/>
  <c r="M19" i="6" s="1"/>
  <c r="M14" i="6"/>
  <c r="M15" i="6" s="1"/>
  <c r="M21" i="6"/>
  <c r="M22" i="6" s="1"/>
  <c r="K22" i="6" s="1"/>
  <c r="AP14" i="6"/>
  <c r="AP15" i="6" s="1"/>
  <c r="AP21" i="6"/>
  <c r="AP22" i="6" s="1"/>
  <c r="AP18" i="6"/>
  <c r="AP19" i="6" s="1"/>
  <c r="AP9" i="6"/>
  <c r="V14" i="6"/>
  <c r="V15" i="6" s="1"/>
  <c r="V21" i="6"/>
  <c r="V22" i="6" s="1"/>
  <c r="V18" i="6"/>
  <c r="V19" i="6" s="1"/>
  <c r="V9" i="6"/>
  <c r="AI14" i="6"/>
  <c r="AI15" i="6" s="1"/>
  <c r="AI21" i="6"/>
  <c r="AI22" i="6" s="1"/>
  <c r="AI18" i="6"/>
  <c r="AI19" i="6" s="1"/>
  <c r="AI9" i="6"/>
  <c r="X21" i="6"/>
  <c r="X22" i="6" s="1"/>
  <c r="X18" i="6"/>
  <c r="X19" i="6" s="1"/>
  <c r="X9" i="6"/>
  <c r="X14" i="6"/>
  <c r="X15" i="6" s="1"/>
  <c r="AN21" i="6"/>
  <c r="AN22" i="6" s="1"/>
  <c r="AN18" i="6"/>
  <c r="AN19" i="6" s="1"/>
  <c r="AN9" i="6"/>
  <c r="AN14" i="6"/>
  <c r="AN15" i="6" s="1"/>
  <c r="AE14" i="6"/>
  <c r="AE15" i="6" s="1"/>
  <c r="AE21" i="6"/>
  <c r="AE22" i="6" s="1"/>
  <c r="AE18" i="6"/>
  <c r="AE19" i="6" s="1"/>
  <c r="AE9" i="6"/>
  <c r="U9" i="6"/>
  <c r="U18" i="6"/>
  <c r="U19" i="6" s="1"/>
  <c r="U21" i="6"/>
  <c r="U22" i="6" s="1"/>
  <c r="U14" i="6"/>
  <c r="U15" i="6" s="1"/>
  <c r="AK9" i="6"/>
  <c r="AK18" i="6"/>
  <c r="AK19" i="6" s="1"/>
  <c r="AK21" i="6"/>
  <c r="AK22" i="6" s="1"/>
  <c r="AK14" i="6"/>
  <c r="AK15" i="6" s="1"/>
  <c r="Q9" i="5"/>
  <c r="Q21" i="5"/>
  <c r="Q22" i="5" s="1"/>
  <c r="Q18" i="5"/>
  <c r="Q19" i="5" s="1"/>
  <c r="Q14" i="5"/>
  <c r="Q15" i="5" s="1"/>
  <c r="AQ14" i="5"/>
  <c r="AQ15" i="5" s="1"/>
  <c r="AQ21" i="5"/>
  <c r="AQ22" i="5" s="1"/>
  <c r="AQ18" i="5"/>
  <c r="AQ19" i="5" s="1"/>
  <c r="AQ9" i="5"/>
  <c r="AS9" i="5"/>
  <c r="AS21" i="5"/>
  <c r="AS22" i="5" s="1"/>
  <c r="AS18" i="5"/>
  <c r="AS19" i="5" s="1"/>
  <c r="AS14" i="5"/>
  <c r="AS15" i="5" s="1"/>
  <c r="M9" i="5"/>
  <c r="M21" i="5"/>
  <c r="M22" i="5" s="1"/>
  <c r="M18" i="5"/>
  <c r="M19" i="5" s="1"/>
  <c r="M14" i="5"/>
  <c r="M15" i="5" s="1"/>
  <c r="AD14" i="5"/>
  <c r="AD15" i="5" s="1"/>
  <c r="AD21" i="5"/>
  <c r="AD22" i="5" s="1"/>
  <c r="AD9" i="5"/>
  <c r="AD18" i="5"/>
  <c r="AD19" i="5" s="1"/>
  <c r="N14" i="5"/>
  <c r="N15" i="5" s="1"/>
  <c r="N21" i="5"/>
  <c r="N22" i="5" s="1"/>
  <c r="N9" i="5"/>
  <c r="N18" i="5"/>
  <c r="N19" i="5" s="1"/>
  <c r="X21" i="5"/>
  <c r="X22" i="5" s="1"/>
  <c r="X18" i="5"/>
  <c r="X19" i="5" s="1"/>
  <c r="X14" i="5"/>
  <c r="X15" i="5" s="1"/>
  <c r="X9" i="5"/>
  <c r="AO9" i="5"/>
  <c r="AO21" i="5"/>
  <c r="AO22" i="5" s="1"/>
  <c r="AO18" i="5"/>
  <c r="AO19" i="5" s="1"/>
  <c r="AO14" i="5"/>
  <c r="AO15" i="5" s="1"/>
  <c r="Y9" i="5"/>
  <c r="Y21" i="5"/>
  <c r="Y22" i="5" s="1"/>
  <c r="Y18" i="5"/>
  <c r="Y19" i="5" s="1"/>
  <c r="Y14" i="5"/>
  <c r="Y15" i="5" s="1"/>
  <c r="AA14" i="5"/>
  <c r="AA15" i="5" s="1"/>
  <c r="AA21" i="5"/>
  <c r="AA22" i="5" s="1"/>
  <c r="AA18" i="5"/>
  <c r="AA19" i="5" s="1"/>
  <c r="AA9" i="5"/>
  <c r="AP14" i="5"/>
  <c r="AP15" i="5" s="1"/>
  <c r="AP21" i="5"/>
  <c r="AP22" i="5" s="1"/>
  <c r="AP9" i="5"/>
  <c r="AP18" i="5"/>
  <c r="AP19" i="5" s="1"/>
  <c r="Z14" i="5"/>
  <c r="Z15" i="5" s="1"/>
  <c r="Z21" i="5"/>
  <c r="Z22" i="5" s="1"/>
  <c r="Z9" i="5"/>
  <c r="Z18" i="5"/>
  <c r="Z19" i="5" s="1"/>
  <c r="AJ21" i="5"/>
  <c r="AJ22" i="5" s="1"/>
  <c r="AJ18" i="5"/>
  <c r="AJ19" i="5" s="1"/>
  <c r="AJ14" i="5"/>
  <c r="AJ15" i="5" s="1"/>
  <c r="AJ9" i="5"/>
  <c r="T21" i="5"/>
  <c r="T22" i="5" s="1"/>
  <c r="T18" i="5"/>
  <c r="T19" i="5" s="1"/>
  <c r="T14" i="5"/>
  <c r="T15" i="5" s="1"/>
  <c r="T9" i="5"/>
  <c r="W14" i="5"/>
  <c r="W15" i="5" s="1"/>
  <c r="W21" i="5"/>
  <c r="W22" i="5" s="1"/>
  <c r="W18" i="5"/>
  <c r="W19" i="5" s="1"/>
  <c r="W9" i="5"/>
  <c r="AG9" i="5"/>
  <c r="AG21" i="5"/>
  <c r="AG22" i="5" s="1"/>
  <c r="AG18" i="5"/>
  <c r="AG19" i="5" s="1"/>
  <c r="AG14" i="5"/>
  <c r="AG15" i="5" s="1"/>
  <c r="AH14" i="5"/>
  <c r="AH15" i="5" s="1"/>
  <c r="AH21" i="5"/>
  <c r="AH22" i="5" s="1"/>
  <c r="AH9" i="5"/>
  <c r="AH18" i="5"/>
  <c r="AH19" i="5" s="1"/>
  <c r="R14" i="5"/>
  <c r="R15" i="5" s="1"/>
  <c r="R21" i="5"/>
  <c r="R22" i="5" s="1"/>
  <c r="R9" i="5"/>
  <c r="R18" i="5"/>
  <c r="R19" i="5" s="1"/>
  <c r="AB21" i="5"/>
  <c r="AB22" i="5" s="1"/>
  <c r="AB18" i="5"/>
  <c r="AB19" i="5" s="1"/>
  <c r="AB14" i="5"/>
  <c r="AB15" i="5" s="1"/>
  <c r="AB9" i="5"/>
  <c r="AM14" i="5"/>
  <c r="AM15" i="5" s="1"/>
  <c r="AM21" i="5"/>
  <c r="AM22" i="5" s="1"/>
  <c r="AM18" i="5"/>
  <c r="AM19" i="5" s="1"/>
  <c r="AM9" i="5"/>
  <c r="AC9" i="5"/>
  <c r="AC21" i="5"/>
  <c r="AC22" i="5" s="1"/>
  <c r="AC18" i="5"/>
  <c r="AC19" i="5" s="1"/>
  <c r="AC14" i="5"/>
  <c r="AC15" i="5" s="1"/>
  <c r="AI14" i="5"/>
  <c r="AI15" i="5" s="1"/>
  <c r="AI21" i="5"/>
  <c r="AI22" i="5" s="1"/>
  <c r="AI18" i="5"/>
  <c r="AI19" i="5" s="1"/>
  <c r="AI9" i="5"/>
  <c r="AN21" i="5"/>
  <c r="AN22" i="5" s="1"/>
  <c r="AN18" i="5"/>
  <c r="AN19" i="5" s="1"/>
  <c r="AN9" i="5"/>
  <c r="AN14" i="5"/>
  <c r="AN15" i="5" s="1"/>
  <c r="AE14" i="5"/>
  <c r="AE15" i="5" s="1"/>
  <c r="AE21" i="5"/>
  <c r="AE22" i="5" s="1"/>
  <c r="AE18" i="5"/>
  <c r="AE19" i="5" s="1"/>
  <c r="AE9" i="5"/>
  <c r="AK9" i="5"/>
  <c r="AK21" i="5"/>
  <c r="AK22" i="5" s="1"/>
  <c r="AK18" i="5"/>
  <c r="AK19" i="5" s="1"/>
  <c r="AK14" i="5"/>
  <c r="AK15" i="5" s="1"/>
  <c r="U9" i="5"/>
  <c r="U21" i="5"/>
  <c r="U22" i="5" s="1"/>
  <c r="U18" i="5"/>
  <c r="U19" i="5" s="1"/>
  <c r="U14" i="5"/>
  <c r="U15" i="5" s="1"/>
  <c r="S14" i="5"/>
  <c r="S15" i="5" s="1"/>
  <c r="S21" i="5"/>
  <c r="S22" i="5" s="1"/>
  <c r="S18" i="5"/>
  <c r="S19" i="5" s="1"/>
  <c r="S9" i="5"/>
  <c r="AL14" i="5"/>
  <c r="AL15" i="5" s="1"/>
  <c r="AL21" i="5"/>
  <c r="AL22" i="5" s="1"/>
  <c r="AL9" i="5"/>
  <c r="AL18" i="5"/>
  <c r="AL19" i="5" s="1"/>
  <c r="V14" i="5"/>
  <c r="V15" i="5" s="1"/>
  <c r="V21" i="5"/>
  <c r="V22" i="5" s="1"/>
  <c r="V9" i="5"/>
  <c r="V18" i="5"/>
  <c r="V19" i="5" s="1"/>
  <c r="AF21" i="5"/>
  <c r="AF22" i="5" s="1"/>
  <c r="AF18" i="5"/>
  <c r="AF19" i="5" s="1"/>
  <c r="AF14" i="5"/>
  <c r="AF15" i="5" s="1"/>
  <c r="AF9" i="5"/>
  <c r="P21" i="5"/>
  <c r="P22" i="5" s="1"/>
  <c r="P18" i="5"/>
  <c r="P19" i="5" s="1"/>
  <c r="P14" i="5"/>
  <c r="P15" i="5" s="1"/>
  <c r="P9" i="5"/>
  <c r="O14" i="5"/>
  <c r="O15" i="5" s="1"/>
  <c r="O21" i="5"/>
  <c r="O22" i="5" s="1"/>
  <c r="O18" i="5"/>
  <c r="O19" i="5" s="1"/>
  <c r="O9" i="5"/>
  <c r="AJ22" i="4"/>
  <c r="AJ23" i="4" s="1"/>
  <c r="O9" i="4"/>
  <c r="AE18" i="4"/>
  <c r="AE19" i="4" s="1"/>
  <c r="AJ9" i="4"/>
  <c r="O14" i="4"/>
  <c r="O15" i="4" s="1"/>
  <c r="AE9" i="4"/>
  <c r="AL14" i="4"/>
  <c r="AL15" i="4" s="1"/>
  <c r="AL9" i="4"/>
  <c r="AL18" i="4"/>
  <c r="AL19" i="4" s="1"/>
  <c r="AL22" i="4"/>
  <c r="AL23" i="4" s="1"/>
  <c r="Z22" i="4"/>
  <c r="Z23" i="4" s="1"/>
  <c r="Z18" i="4"/>
  <c r="Z19" i="4" s="1"/>
  <c r="Z14" i="4"/>
  <c r="Z15" i="4" s="1"/>
  <c r="Z9" i="4"/>
  <c r="V14" i="4"/>
  <c r="V15" i="4" s="1"/>
  <c r="V9" i="4"/>
  <c r="V22" i="4"/>
  <c r="V23" i="4" s="1"/>
  <c r="V18" i="4"/>
  <c r="V19" i="4" s="1"/>
  <c r="AH9" i="4"/>
  <c r="AH22" i="4"/>
  <c r="AH23" i="4" s="1"/>
  <c r="AH18" i="4"/>
  <c r="AH19" i="4" s="1"/>
  <c r="AH14" i="4"/>
  <c r="AH15" i="4" s="1"/>
  <c r="R9" i="4"/>
  <c r="R22" i="4"/>
  <c r="R23" i="4" s="1"/>
  <c r="R18" i="4"/>
  <c r="R19" i="4" s="1"/>
  <c r="R14" i="4"/>
  <c r="R15" i="4" s="1"/>
  <c r="AD22" i="4"/>
  <c r="AD23" i="4" s="1"/>
  <c r="AD18" i="4"/>
  <c r="AD19" i="4" s="1"/>
  <c r="AD14" i="4"/>
  <c r="AD15" i="4" s="1"/>
  <c r="AD9" i="4"/>
  <c r="N22" i="4"/>
  <c r="N23" i="4" s="1"/>
  <c r="N18" i="4"/>
  <c r="N19" i="4" s="1"/>
  <c r="K19" i="4" s="1"/>
  <c r="F18" i="4" s="1"/>
  <c r="N14" i="4"/>
  <c r="N15" i="4" s="1"/>
  <c r="N9" i="4"/>
  <c r="J9" i="7" l="1"/>
  <c r="J19" i="7"/>
  <c r="E18" i="7" s="1"/>
  <c r="J15" i="7"/>
  <c r="E15" i="7" s="1"/>
  <c r="J22" i="7"/>
  <c r="K15" i="5"/>
  <c r="F15" i="5" s="1"/>
  <c r="K19" i="6"/>
  <c r="F18" i="6" s="1"/>
  <c r="K15" i="6"/>
  <c r="F15" i="6" s="1"/>
  <c r="K9" i="6"/>
  <c r="K22" i="5"/>
  <c r="K19" i="5"/>
  <c r="F18" i="5" s="1"/>
  <c r="K9" i="5"/>
  <c r="K9" i="4"/>
  <c r="K15" i="4"/>
  <c r="F15" i="4" s="1"/>
  <c r="F17" i="4"/>
  <c r="K23" i="4"/>
  <c r="E14" i="7" l="1"/>
  <c r="E17" i="7"/>
  <c r="F14" i="5"/>
  <c r="F14" i="6"/>
  <c r="F17" i="6"/>
  <c r="F17" i="5"/>
  <c r="F14" i="4"/>
  <c r="M10" i="3" l="1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Q40" i="2" l="1"/>
  <c r="R40" i="2"/>
  <c r="S40" i="2"/>
  <c r="T40" i="2"/>
  <c r="U40" i="2"/>
  <c r="P40" i="2"/>
  <c r="K40" i="2"/>
  <c r="L40" i="2"/>
  <c r="M40" i="2"/>
  <c r="J40" i="2"/>
  <c r="E35" i="3"/>
  <c r="E28" i="3"/>
  <c r="E34" i="3"/>
  <c r="E27" i="3"/>
  <c r="C37" i="3"/>
  <c r="C34" i="3"/>
  <c r="C30" i="3"/>
  <c r="C27" i="3"/>
  <c r="C36" i="3"/>
  <c r="C35" i="3"/>
  <c r="C29" i="3"/>
  <c r="C28" i="3"/>
  <c r="AQ11" i="3"/>
  <c r="F20" i="3"/>
  <c r="F21" i="3" s="1"/>
  <c r="F13" i="3"/>
  <c r="AS11" i="3"/>
  <c r="AR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B6" i="3"/>
  <c r="F5" i="3"/>
  <c r="AR8" i="3" s="1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K3" i="3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F18" i="2"/>
  <c r="F19" i="2" s="1"/>
  <c r="F13" i="2"/>
  <c r="AS10" i="2"/>
  <c r="AS11" i="2" s="1"/>
  <c r="AR10" i="2"/>
  <c r="AR11" i="2" s="1"/>
  <c r="AQ10" i="2"/>
  <c r="AQ11" i="2" s="1"/>
  <c r="AP10" i="2"/>
  <c r="AP11" i="2" s="1"/>
  <c r="AO10" i="2"/>
  <c r="AO11" i="2" s="1"/>
  <c r="AN10" i="2"/>
  <c r="AN11" i="2" s="1"/>
  <c r="AM10" i="2"/>
  <c r="AM11" i="2" s="1"/>
  <c r="AL10" i="2"/>
  <c r="AL11" i="2" s="1"/>
  <c r="AK10" i="2"/>
  <c r="AK11" i="2" s="1"/>
  <c r="AJ10" i="2"/>
  <c r="AJ11" i="2" s="1"/>
  <c r="AI10" i="2"/>
  <c r="AI11" i="2" s="1"/>
  <c r="AI13" i="2" s="1"/>
  <c r="AH10" i="2"/>
  <c r="AH11" i="2" s="1"/>
  <c r="AG10" i="2"/>
  <c r="AG11" i="2" s="1"/>
  <c r="AF10" i="2"/>
  <c r="AF11" i="2" s="1"/>
  <c r="AE10" i="2"/>
  <c r="AE11" i="2" s="1"/>
  <c r="AE13" i="2" s="1"/>
  <c r="AD10" i="2"/>
  <c r="AD11" i="2" s="1"/>
  <c r="AC10" i="2"/>
  <c r="AC11" i="2" s="1"/>
  <c r="AB10" i="2"/>
  <c r="AB11" i="2" s="1"/>
  <c r="AA10" i="2"/>
  <c r="AA11" i="2" s="1"/>
  <c r="Z10" i="2"/>
  <c r="Z11" i="2" s="1"/>
  <c r="Y10" i="2"/>
  <c r="Y11" i="2" s="1"/>
  <c r="X10" i="2"/>
  <c r="X11" i="2" s="1"/>
  <c r="W10" i="2"/>
  <c r="W11" i="2" s="1"/>
  <c r="W13" i="2" s="1"/>
  <c r="V10" i="2"/>
  <c r="V11" i="2" s="1"/>
  <c r="V13" i="2" s="1"/>
  <c r="U10" i="2"/>
  <c r="U11" i="2" s="1"/>
  <c r="T10" i="2"/>
  <c r="T11" i="2" s="1"/>
  <c r="S10" i="2"/>
  <c r="S11" i="2" s="1"/>
  <c r="S13" i="2" s="1"/>
  <c r="R10" i="2"/>
  <c r="R11" i="2" s="1"/>
  <c r="R13" i="2" s="1"/>
  <c r="Q10" i="2"/>
  <c r="Q11" i="2" s="1"/>
  <c r="P10" i="2"/>
  <c r="P11" i="2" s="1"/>
  <c r="O10" i="2"/>
  <c r="O11" i="2" s="1"/>
  <c r="O13" i="2" s="1"/>
  <c r="N10" i="2"/>
  <c r="N11" i="2" s="1"/>
  <c r="N13" i="2" s="1"/>
  <c r="M10" i="2"/>
  <c r="M11" i="2" s="1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B6" i="2"/>
  <c r="F5" i="2"/>
  <c r="AN8" i="2" s="1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K3" i="2"/>
  <c r="E38" i="3" l="1"/>
  <c r="M17" i="3"/>
  <c r="E31" i="3"/>
  <c r="AB17" i="3"/>
  <c r="AN17" i="3"/>
  <c r="T13" i="3"/>
  <c r="AF13" i="3"/>
  <c r="AC13" i="3"/>
  <c r="AS13" i="3"/>
  <c r="N13" i="3"/>
  <c r="R13" i="3"/>
  <c r="V13" i="3"/>
  <c r="Z13" i="3"/>
  <c r="AD13" i="3"/>
  <c r="AH13" i="3"/>
  <c r="AL13" i="3"/>
  <c r="AP13" i="3"/>
  <c r="AA13" i="3"/>
  <c r="AR13" i="3"/>
  <c r="AR14" i="3" s="1"/>
  <c r="AR15" i="3" s="1"/>
  <c r="AQ13" i="3"/>
  <c r="Q17" i="3"/>
  <c r="U17" i="3"/>
  <c r="Y17" i="3"/>
  <c r="AG17" i="3"/>
  <c r="AK17" i="3"/>
  <c r="AO17" i="3"/>
  <c r="K4" i="3"/>
  <c r="O17" i="3"/>
  <c r="S17" i="3"/>
  <c r="W17" i="3"/>
  <c r="AE17" i="3"/>
  <c r="AI17" i="3"/>
  <c r="AM17" i="3"/>
  <c r="P13" i="3"/>
  <c r="P17" i="3"/>
  <c r="X13" i="3"/>
  <c r="X17" i="3"/>
  <c r="AJ13" i="3"/>
  <c r="AJ17" i="3"/>
  <c r="M13" i="3"/>
  <c r="AQ17" i="3"/>
  <c r="AA17" i="3"/>
  <c r="AP17" i="3"/>
  <c r="AL17" i="3"/>
  <c r="AH17" i="3"/>
  <c r="AD17" i="3"/>
  <c r="Z17" i="3"/>
  <c r="V17" i="3"/>
  <c r="R17" i="3"/>
  <c r="N17" i="3"/>
  <c r="AS17" i="3"/>
  <c r="AC17" i="3"/>
  <c r="AR17" i="3"/>
  <c r="AF17" i="3"/>
  <c r="T17" i="3"/>
  <c r="Z8" i="3"/>
  <c r="Z20" i="3" s="1"/>
  <c r="Z21" i="3" s="1"/>
  <c r="AN8" i="3"/>
  <c r="AN20" i="3" s="1"/>
  <c r="AN21" i="3" s="1"/>
  <c r="Q8" i="3"/>
  <c r="AF8" i="3"/>
  <c r="AF20" i="3" s="1"/>
  <c r="AF21" i="3" s="1"/>
  <c r="AS8" i="3"/>
  <c r="AS20" i="3" s="1"/>
  <c r="AS21" i="3" s="1"/>
  <c r="AR18" i="3"/>
  <c r="R8" i="3"/>
  <c r="R20" i="3" s="1"/>
  <c r="R21" i="3" s="1"/>
  <c r="AG8" i="3"/>
  <c r="X8" i="3"/>
  <c r="X20" i="3" s="1"/>
  <c r="X21" i="3" s="1"/>
  <c r="AL8" i="3"/>
  <c r="S13" i="3"/>
  <c r="AI13" i="3"/>
  <c r="AB13" i="3"/>
  <c r="M8" i="3"/>
  <c r="U8" i="3"/>
  <c r="AB8" i="3"/>
  <c r="AB9" i="3" s="1"/>
  <c r="AH8" i="3"/>
  <c r="AH20" i="3" s="1"/>
  <c r="AH21" i="3" s="1"/>
  <c r="AP8" i="3"/>
  <c r="O13" i="3"/>
  <c r="W13" i="3"/>
  <c r="AE13" i="3"/>
  <c r="AM13" i="3"/>
  <c r="AN13" i="3"/>
  <c r="P8" i="3"/>
  <c r="P20" i="3" s="1"/>
  <c r="P21" i="3" s="1"/>
  <c r="V8" i="3"/>
  <c r="V9" i="3" s="1"/>
  <c r="AC8" i="3"/>
  <c r="AC9" i="3" s="1"/>
  <c r="AK8" i="3"/>
  <c r="Q13" i="3"/>
  <c r="U13" i="3"/>
  <c r="Y13" i="3"/>
  <c r="AG13" i="3"/>
  <c r="AK13" i="3"/>
  <c r="AO13" i="3"/>
  <c r="AR20" i="3"/>
  <c r="AR21" i="3" s="1"/>
  <c r="AR9" i="3"/>
  <c r="Q20" i="3"/>
  <c r="Q21" i="3" s="1"/>
  <c r="AQ8" i="3"/>
  <c r="AM8" i="3"/>
  <c r="AI8" i="3"/>
  <c r="AE8" i="3"/>
  <c r="AE18" i="3" s="1"/>
  <c r="AA8" i="3"/>
  <c r="W8" i="3"/>
  <c r="S8" i="3"/>
  <c r="O8" i="3"/>
  <c r="N8" i="3"/>
  <c r="T8" i="3"/>
  <c r="Y8" i="3"/>
  <c r="AD8" i="3"/>
  <c r="AD18" i="3" s="1"/>
  <c r="AJ8" i="3"/>
  <c r="AO8" i="3"/>
  <c r="AR13" i="2"/>
  <c r="Z13" i="2"/>
  <c r="AD13" i="2"/>
  <c r="AM13" i="2"/>
  <c r="K4" i="2"/>
  <c r="Q13" i="2"/>
  <c r="X8" i="2"/>
  <c r="Z8" i="2"/>
  <c r="Z18" i="2" s="1"/>
  <c r="Z19" i="2" s="1"/>
  <c r="AR8" i="2"/>
  <c r="AR18" i="2" s="1"/>
  <c r="AR19" i="2" s="1"/>
  <c r="AS8" i="2"/>
  <c r="AS9" i="2" s="1"/>
  <c r="Q8" i="2"/>
  <c r="Q18" i="2" s="1"/>
  <c r="Q19" i="2" s="1"/>
  <c r="AG8" i="2"/>
  <c r="AG9" i="2" s="1"/>
  <c r="R8" i="2"/>
  <c r="R18" i="2" s="1"/>
  <c r="R19" i="2" s="1"/>
  <c r="AH8" i="2"/>
  <c r="AH18" i="2" s="1"/>
  <c r="AH19" i="2" s="1"/>
  <c r="M8" i="2"/>
  <c r="M9" i="2" s="1"/>
  <c r="U8" i="2"/>
  <c r="U9" i="2" s="1"/>
  <c r="AB8" i="2"/>
  <c r="AB18" i="2" s="1"/>
  <c r="AB19" i="2" s="1"/>
  <c r="AL8" i="2"/>
  <c r="AL18" i="2" s="1"/>
  <c r="AL19" i="2" s="1"/>
  <c r="P8" i="2"/>
  <c r="P18" i="2" s="1"/>
  <c r="P19" i="2" s="1"/>
  <c r="V8" i="2"/>
  <c r="V18" i="2" s="1"/>
  <c r="V19" i="2" s="1"/>
  <c r="AC8" i="2"/>
  <c r="AC9" i="2" s="1"/>
  <c r="AH13" i="2"/>
  <c r="AN13" i="2"/>
  <c r="AN14" i="2" s="1"/>
  <c r="AN15" i="2" s="1"/>
  <c r="U13" i="2"/>
  <c r="U14" i="2" s="1"/>
  <c r="U15" i="2" s="1"/>
  <c r="AG13" i="2"/>
  <c r="AK13" i="2"/>
  <c r="X13" i="2"/>
  <c r="X14" i="2" s="1"/>
  <c r="X15" i="2" s="1"/>
  <c r="AA13" i="2"/>
  <c r="AL13" i="2"/>
  <c r="AP13" i="2"/>
  <c r="M13" i="2"/>
  <c r="Y13" i="2"/>
  <c r="AJ13" i="2"/>
  <c r="AS13" i="2"/>
  <c r="AF13" i="2"/>
  <c r="AQ13" i="2"/>
  <c r="T13" i="2"/>
  <c r="AC13" i="2"/>
  <c r="AO13" i="2"/>
  <c r="P13" i="2"/>
  <c r="Q9" i="2"/>
  <c r="AB13" i="2"/>
  <c r="AQ8" i="2"/>
  <c r="AM8" i="2"/>
  <c r="AI8" i="2"/>
  <c r="AE8" i="2"/>
  <c r="AA8" i="2"/>
  <c r="W8" i="2"/>
  <c r="S8" i="2"/>
  <c r="O8" i="2"/>
  <c r="N8" i="2"/>
  <c r="T8" i="2"/>
  <c r="Y8" i="2"/>
  <c r="AD8" i="2"/>
  <c r="AJ8" i="2"/>
  <c r="AO8" i="2"/>
  <c r="X18" i="2"/>
  <c r="X19" i="2" s="1"/>
  <c r="AN18" i="2"/>
  <c r="AN19" i="2" s="1"/>
  <c r="AF8" i="2"/>
  <c r="AK8" i="2"/>
  <c r="AP8" i="2"/>
  <c r="X9" i="2"/>
  <c r="AN9" i="2"/>
  <c r="O18" i="3" l="1"/>
  <c r="AP18" i="3"/>
  <c r="AN14" i="3"/>
  <c r="AN15" i="3" s="1"/>
  <c r="AN9" i="3"/>
  <c r="X9" i="3"/>
  <c r="AM18" i="3"/>
  <c r="M20" i="3"/>
  <c r="M21" i="3" s="1"/>
  <c r="M18" i="3"/>
  <c r="AN18" i="3"/>
  <c r="Y18" i="3"/>
  <c r="AO18" i="3"/>
  <c r="W18" i="3"/>
  <c r="AC14" i="3"/>
  <c r="AC15" i="3" s="1"/>
  <c r="AQ18" i="3"/>
  <c r="U18" i="3"/>
  <c r="Z9" i="3"/>
  <c r="U9" i="3"/>
  <c r="AG14" i="3"/>
  <c r="AG15" i="3" s="1"/>
  <c r="AK18" i="3"/>
  <c r="Q18" i="3"/>
  <c r="S18" i="3"/>
  <c r="V20" i="3"/>
  <c r="V21" i="3" s="1"/>
  <c r="T18" i="3"/>
  <c r="AI18" i="3"/>
  <c r="AJ18" i="3"/>
  <c r="N18" i="3"/>
  <c r="AA18" i="3"/>
  <c r="AG18" i="3"/>
  <c r="AS18" i="3"/>
  <c r="AS9" i="3"/>
  <c r="AG9" i="3"/>
  <c r="AL18" i="3"/>
  <c r="AG20" i="3"/>
  <c r="AG21" i="3" s="1"/>
  <c r="Z18" i="3"/>
  <c r="AS14" i="3"/>
  <c r="AS15" i="3" s="1"/>
  <c r="Z14" i="3"/>
  <c r="Z15" i="3" s="1"/>
  <c r="X14" i="3"/>
  <c r="X15" i="3" s="1"/>
  <c r="V14" i="3"/>
  <c r="V15" i="3" s="1"/>
  <c r="AH9" i="3"/>
  <c r="AH14" i="3"/>
  <c r="AH15" i="3" s="1"/>
  <c r="AK20" i="3"/>
  <c r="AK21" i="3" s="1"/>
  <c r="AK9" i="3"/>
  <c r="AF14" i="3"/>
  <c r="AF15" i="3" s="1"/>
  <c r="AL9" i="3"/>
  <c r="V18" i="3"/>
  <c r="R14" i="3"/>
  <c r="R15" i="3" s="1"/>
  <c r="R9" i="3"/>
  <c r="AL14" i="3"/>
  <c r="AL15" i="3" s="1"/>
  <c r="AL20" i="3"/>
  <c r="AL21" i="3" s="1"/>
  <c r="Q9" i="3"/>
  <c r="R18" i="3"/>
  <c r="P9" i="3"/>
  <c r="Q14" i="3"/>
  <c r="Q15" i="3" s="1"/>
  <c r="AB14" i="3"/>
  <c r="AB15" i="3" s="1"/>
  <c r="X18" i="3"/>
  <c r="AC18" i="3"/>
  <c r="M14" i="3"/>
  <c r="M15" i="3" s="1"/>
  <c r="P14" i="3"/>
  <c r="P15" i="3" s="1"/>
  <c r="AB18" i="3"/>
  <c r="AF9" i="3"/>
  <c r="M9" i="3"/>
  <c r="AH18" i="3"/>
  <c r="P18" i="3"/>
  <c r="AF18" i="3"/>
  <c r="AC20" i="3"/>
  <c r="AC21" i="3" s="1"/>
  <c r="AB20" i="3"/>
  <c r="AB21" i="3" s="1"/>
  <c r="U14" i="3"/>
  <c r="U15" i="3" s="1"/>
  <c r="AP20" i="3"/>
  <c r="AP21" i="3" s="1"/>
  <c r="AP9" i="3"/>
  <c r="U20" i="3"/>
  <c r="U21" i="3" s="1"/>
  <c r="AP14" i="3"/>
  <c r="AP15" i="3" s="1"/>
  <c r="AK14" i="3"/>
  <c r="AK15" i="3" s="1"/>
  <c r="AO9" i="3"/>
  <c r="AO20" i="3"/>
  <c r="AO21" i="3" s="1"/>
  <c r="AO14" i="3"/>
  <c r="AO15" i="3" s="1"/>
  <c r="AM14" i="3"/>
  <c r="AM15" i="3" s="1"/>
  <c r="AM20" i="3"/>
  <c r="AM21" i="3" s="1"/>
  <c r="AM9" i="3"/>
  <c r="AJ14" i="3"/>
  <c r="AJ15" i="3" s="1"/>
  <c r="AJ20" i="3"/>
  <c r="AJ21" i="3" s="1"/>
  <c r="AJ9" i="3"/>
  <c r="AA14" i="3"/>
  <c r="AA15" i="3" s="1"/>
  <c r="AA20" i="3"/>
  <c r="AA21" i="3" s="1"/>
  <c r="AA9" i="3"/>
  <c r="O14" i="3"/>
  <c r="O15" i="3" s="1"/>
  <c r="O20" i="3"/>
  <c r="O21" i="3" s="1"/>
  <c r="O9" i="3"/>
  <c r="T20" i="3"/>
  <c r="T21" i="3" s="1"/>
  <c r="T14" i="3"/>
  <c r="T15" i="3" s="1"/>
  <c r="T9" i="3"/>
  <c r="W14" i="3"/>
  <c r="W15" i="3" s="1"/>
  <c r="W20" i="3"/>
  <c r="W21" i="3" s="1"/>
  <c r="W9" i="3"/>
  <c r="N20" i="3"/>
  <c r="N21" i="3" s="1"/>
  <c r="N9" i="3"/>
  <c r="N14" i="3"/>
  <c r="N15" i="3" s="1"/>
  <c r="AQ14" i="3"/>
  <c r="AQ15" i="3" s="1"/>
  <c r="AQ20" i="3"/>
  <c r="AQ21" i="3" s="1"/>
  <c r="AQ9" i="3"/>
  <c r="AD20" i="3"/>
  <c r="AD21" i="3" s="1"/>
  <c r="AD9" i="3"/>
  <c r="AD14" i="3"/>
  <c r="AD15" i="3" s="1"/>
  <c r="AE14" i="3"/>
  <c r="AE15" i="3" s="1"/>
  <c r="AE20" i="3"/>
  <c r="AE21" i="3" s="1"/>
  <c r="AE9" i="3"/>
  <c r="Y9" i="3"/>
  <c r="Y20" i="3"/>
  <c r="Y21" i="3" s="1"/>
  <c r="Y14" i="3"/>
  <c r="Y15" i="3" s="1"/>
  <c r="S14" i="3"/>
  <c r="S15" i="3" s="1"/>
  <c r="S9" i="3"/>
  <c r="S20" i="3"/>
  <c r="S21" i="3" s="1"/>
  <c r="AI14" i="3"/>
  <c r="AI15" i="3" s="1"/>
  <c r="AI9" i="3"/>
  <c r="AI20" i="3"/>
  <c r="AI21" i="3" s="1"/>
  <c r="P14" i="2"/>
  <c r="P15" i="2" s="1"/>
  <c r="R14" i="2"/>
  <c r="R15" i="2" s="1"/>
  <c r="AR14" i="2"/>
  <c r="AR15" i="2" s="1"/>
  <c r="AR9" i="2"/>
  <c r="AB9" i="2"/>
  <c r="AB14" i="2"/>
  <c r="AB15" i="2" s="1"/>
  <c r="R9" i="2"/>
  <c r="AC14" i="2"/>
  <c r="AC15" i="2" s="1"/>
  <c r="Q14" i="2"/>
  <c r="Q15" i="2" s="1"/>
  <c r="U18" i="2"/>
  <c r="U19" i="2" s="1"/>
  <c r="AG18" i="2"/>
  <c r="AG19" i="2" s="1"/>
  <c r="AG14" i="2"/>
  <c r="AG15" i="2" s="1"/>
  <c r="AS18" i="2"/>
  <c r="AS19" i="2" s="1"/>
  <c r="AS14" i="2"/>
  <c r="AS15" i="2" s="1"/>
  <c r="AC18" i="2"/>
  <c r="AC19" i="2" s="1"/>
  <c r="V14" i="2"/>
  <c r="V15" i="2" s="1"/>
  <c r="AL9" i="2"/>
  <c r="Z14" i="2"/>
  <c r="Z15" i="2" s="1"/>
  <c r="Z9" i="2"/>
  <c r="AH14" i="2"/>
  <c r="AH15" i="2" s="1"/>
  <c r="V9" i="2"/>
  <c r="AH9" i="2"/>
  <c r="P9" i="2"/>
  <c r="M18" i="2"/>
  <c r="M19" i="2" s="1"/>
  <c r="M14" i="2"/>
  <c r="M15" i="2" s="1"/>
  <c r="AL14" i="2"/>
  <c r="AL15" i="2" s="1"/>
  <c r="AD18" i="2"/>
  <c r="AD19" i="2" s="1"/>
  <c r="AD9" i="2"/>
  <c r="AD14" i="2"/>
  <c r="AD15" i="2" s="1"/>
  <c r="AE18" i="2"/>
  <c r="AE19" i="2" s="1"/>
  <c r="AE14" i="2"/>
  <c r="AE15" i="2" s="1"/>
  <c r="AE9" i="2"/>
  <c r="S18" i="2"/>
  <c r="S19" i="2" s="1"/>
  <c r="S14" i="2"/>
  <c r="S15" i="2" s="1"/>
  <c r="S9" i="2"/>
  <c r="AO9" i="2"/>
  <c r="AO18" i="2"/>
  <c r="AO19" i="2" s="1"/>
  <c r="AO14" i="2"/>
  <c r="AO15" i="2" s="1"/>
  <c r="T14" i="2"/>
  <c r="T15" i="2" s="1"/>
  <c r="T18" i="2"/>
  <c r="T19" i="2" s="1"/>
  <c r="T9" i="2"/>
  <c r="W18" i="2"/>
  <c r="W19" i="2" s="1"/>
  <c r="W14" i="2"/>
  <c r="W15" i="2" s="1"/>
  <c r="W9" i="2"/>
  <c r="AM18" i="2"/>
  <c r="AM19" i="2" s="1"/>
  <c r="AM14" i="2"/>
  <c r="AM15" i="2" s="1"/>
  <c r="AM9" i="2"/>
  <c r="AF18" i="2"/>
  <c r="AF19" i="2" s="1"/>
  <c r="AF14" i="2"/>
  <c r="AF15" i="2" s="1"/>
  <c r="AF9" i="2"/>
  <c r="O18" i="2"/>
  <c r="O19" i="2" s="1"/>
  <c r="O14" i="2"/>
  <c r="O15" i="2" s="1"/>
  <c r="O9" i="2"/>
  <c r="Y9" i="2"/>
  <c r="Y18" i="2"/>
  <c r="Y19" i="2" s="1"/>
  <c r="Y14" i="2"/>
  <c r="Y15" i="2" s="1"/>
  <c r="AI18" i="2"/>
  <c r="AI19" i="2" s="1"/>
  <c r="AI14" i="2"/>
  <c r="AI15" i="2" s="1"/>
  <c r="AI9" i="2"/>
  <c r="AP18" i="2"/>
  <c r="AP19" i="2" s="1"/>
  <c r="AP9" i="2"/>
  <c r="AP14" i="2"/>
  <c r="AP15" i="2" s="1"/>
  <c r="AK9" i="2"/>
  <c r="AK18" i="2"/>
  <c r="AK19" i="2" s="1"/>
  <c r="AK14" i="2"/>
  <c r="AK15" i="2" s="1"/>
  <c r="AJ18" i="2"/>
  <c r="AJ19" i="2" s="1"/>
  <c r="AJ9" i="2"/>
  <c r="AJ14" i="2"/>
  <c r="AJ15" i="2" s="1"/>
  <c r="N18" i="2"/>
  <c r="N19" i="2" s="1"/>
  <c r="N9" i="2"/>
  <c r="N14" i="2"/>
  <c r="N15" i="2" s="1"/>
  <c r="AA18" i="2"/>
  <c r="AA19" i="2" s="1"/>
  <c r="AA14" i="2"/>
  <c r="AA15" i="2" s="1"/>
  <c r="AA9" i="2"/>
  <c r="AQ18" i="2"/>
  <c r="AQ19" i="2" s="1"/>
  <c r="AQ14" i="2"/>
  <c r="AQ15" i="2" s="1"/>
  <c r="AQ9" i="2"/>
  <c r="K18" i="3" l="1"/>
  <c r="K9" i="3"/>
  <c r="K21" i="3"/>
  <c r="K15" i="3"/>
  <c r="F15" i="3" s="1"/>
  <c r="K19" i="2"/>
  <c r="K9" i="2"/>
  <c r="K15" i="2"/>
  <c r="F15" i="2" s="1"/>
  <c r="F17" i="3" l="1"/>
  <c r="E37" i="3"/>
  <c r="E30" i="3"/>
  <c r="E36" i="3"/>
  <c r="E29" i="3"/>
  <c r="F14" i="3"/>
  <c r="F14" i="2"/>
  <c r="N6" i="1" l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N10" i="1"/>
  <c r="O10" i="1"/>
  <c r="O11" i="1" s="1"/>
  <c r="O17" i="1" s="1"/>
  <c r="P10" i="1"/>
  <c r="P11" i="1" s="1"/>
  <c r="P17" i="1" s="1"/>
  <c r="Q10" i="1"/>
  <c r="Q11" i="1" s="1"/>
  <c r="Q17" i="1" s="1"/>
  <c r="R10" i="1"/>
  <c r="S10" i="1"/>
  <c r="S11" i="1" s="1"/>
  <c r="T10" i="1"/>
  <c r="T11" i="1" s="1"/>
  <c r="T17" i="1" s="1"/>
  <c r="U10" i="1"/>
  <c r="U11" i="1" s="1"/>
  <c r="U17" i="1" s="1"/>
  <c r="V10" i="1"/>
  <c r="V11" i="1" s="1"/>
  <c r="V17" i="1" s="1"/>
  <c r="W10" i="1"/>
  <c r="W11" i="1" s="1"/>
  <c r="X10" i="1"/>
  <c r="X11" i="1" s="1"/>
  <c r="X17" i="1" s="1"/>
  <c r="Y10" i="1"/>
  <c r="Y11" i="1" s="1"/>
  <c r="Y17" i="1" s="1"/>
  <c r="Z10" i="1"/>
  <c r="Z11" i="1" s="1"/>
  <c r="Z17" i="1" s="1"/>
  <c r="AA10" i="1"/>
  <c r="AA11" i="1" s="1"/>
  <c r="AA17" i="1" s="1"/>
  <c r="AB10" i="1"/>
  <c r="AB11" i="1" s="1"/>
  <c r="AB17" i="1" s="1"/>
  <c r="AC10" i="1"/>
  <c r="AC11" i="1" s="1"/>
  <c r="AC17" i="1" s="1"/>
  <c r="AD10" i="1"/>
  <c r="AD11" i="1" s="1"/>
  <c r="AD17" i="1" s="1"/>
  <c r="AE10" i="1"/>
  <c r="AE11" i="1" s="1"/>
  <c r="AF10" i="1"/>
  <c r="AF11" i="1" s="1"/>
  <c r="AF17" i="1" s="1"/>
  <c r="AG10" i="1"/>
  <c r="AG11" i="1" s="1"/>
  <c r="AG17" i="1" s="1"/>
  <c r="AH10" i="1"/>
  <c r="AI10" i="1"/>
  <c r="AI11" i="1" s="1"/>
  <c r="AJ10" i="1"/>
  <c r="AJ11" i="1" s="1"/>
  <c r="AJ17" i="1" s="1"/>
  <c r="AK10" i="1"/>
  <c r="AK11" i="1" s="1"/>
  <c r="AK17" i="1" s="1"/>
  <c r="AL10" i="1"/>
  <c r="AL11" i="1" s="1"/>
  <c r="AL17" i="1" s="1"/>
  <c r="AM10" i="1"/>
  <c r="AM11" i="1" s="1"/>
  <c r="AN10" i="1"/>
  <c r="AN11" i="1" s="1"/>
  <c r="AN17" i="1" s="1"/>
  <c r="AO10" i="1"/>
  <c r="AO11" i="1" s="1"/>
  <c r="AO17" i="1" s="1"/>
  <c r="AP10" i="1"/>
  <c r="AP11" i="1" s="1"/>
  <c r="AP17" i="1" s="1"/>
  <c r="AQ10" i="1"/>
  <c r="AQ11" i="1" s="1"/>
  <c r="AQ17" i="1" s="1"/>
  <c r="AR10" i="1"/>
  <c r="AR11" i="1" s="1"/>
  <c r="AR17" i="1" s="1"/>
  <c r="AS10" i="1"/>
  <c r="AS11" i="1" s="1"/>
  <c r="AS17" i="1" s="1"/>
  <c r="N11" i="1"/>
  <c r="N17" i="1" s="1"/>
  <c r="R11" i="1"/>
  <c r="R17" i="1" s="1"/>
  <c r="AH11" i="1"/>
  <c r="AH17" i="1" s="1"/>
  <c r="M10" i="1"/>
  <c r="M11" i="1" s="1"/>
  <c r="F13" i="1"/>
  <c r="AM13" i="1" l="1"/>
  <c r="AM17" i="1"/>
  <c r="S13" i="1"/>
  <c r="S17" i="1"/>
  <c r="W13" i="1"/>
  <c r="W17" i="1"/>
  <c r="AI13" i="1"/>
  <c r="AI17" i="1"/>
  <c r="AE13" i="1"/>
  <c r="AE17" i="1"/>
  <c r="AS13" i="1"/>
  <c r="AO13" i="1"/>
  <c r="AK13" i="1"/>
  <c r="AG13" i="1"/>
  <c r="AC13" i="1"/>
  <c r="Y13" i="1"/>
  <c r="U13" i="1"/>
  <c r="AQ13" i="1"/>
  <c r="AA13" i="1"/>
  <c r="AL13" i="1"/>
  <c r="AD13" i="1"/>
  <c r="V13" i="1"/>
  <c r="R13" i="1"/>
  <c r="M13" i="1"/>
  <c r="Q13" i="1"/>
  <c r="AP13" i="1"/>
  <c r="AH13" i="1"/>
  <c r="Z13" i="1"/>
  <c r="P13" i="1"/>
  <c r="O13" i="1"/>
  <c r="AR13" i="1"/>
  <c r="AN13" i="1"/>
  <c r="AJ13" i="1"/>
  <c r="AF13" i="1"/>
  <c r="AB13" i="1"/>
  <c r="X13" i="1"/>
  <c r="T13" i="1"/>
  <c r="N13" i="1"/>
  <c r="F21" i="1" l="1"/>
  <c r="F5" i="1" l="1"/>
  <c r="M8" i="1" s="1"/>
  <c r="B6" i="1"/>
  <c r="M6" i="1"/>
  <c r="M17" i="1" s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M4" i="1"/>
  <c r="K3" i="1"/>
  <c r="M18" i="1" l="1"/>
  <c r="M19" i="1" s="1"/>
  <c r="Q8" i="1"/>
  <c r="Q18" i="1" s="1"/>
  <c r="Q19" i="1" s="1"/>
  <c r="U8" i="1"/>
  <c r="U18" i="1" s="1"/>
  <c r="U19" i="1" s="1"/>
  <c r="Y8" i="1"/>
  <c r="Y18" i="1" s="1"/>
  <c r="Y19" i="1" s="1"/>
  <c r="AC8" i="1"/>
  <c r="AC18" i="1" s="1"/>
  <c r="AC19" i="1" s="1"/>
  <c r="AG8" i="1"/>
  <c r="AG18" i="1" s="1"/>
  <c r="AG19" i="1" s="1"/>
  <c r="AK8" i="1"/>
  <c r="AK18" i="1" s="1"/>
  <c r="AK19" i="1" s="1"/>
  <c r="AO8" i="1"/>
  <c r="AO18" i="1" s="1"/>
  <c r="AO19" i="1" s="1"/>
  <c r="AS8" i="1"/>
  <c r="AS18" i="1" s="1"/>
  <c r="AS19" i="1" s="1"/>
  <c r="N8" i="1"/>
  <c r="N18" i="1" s="1"/>
  <c r="N19" i="1" s="1"/>
  <c r="R8" i="1"/>
  <c r="R18" i="1" s="1"/>
  <c r="R19" i="1" s="1"/>
  <c r="V8" i="1"/>
  <c r="V18" i="1" s="1"/>
  <c r="V19" i="1" s="1"/>
  <c r="Z8" i="1"/>
  <c r="Z18" i="1" s="1"/>
  <c r="Z19" i="1" s="1"/>
  <c r="AD8" i="1"/>
  <c r="AD18" i="1" s="1"/>
  <c r="AD19" i="1" s="1"/>
  <c r="AH8" i="1"/>
  <c r="AH18" i="1" s="1"/>
  <c r="AH19" i="1" s="1"/>
  <c r="AL8" i="1"/>
  <c r="AL18" i="1" s="1"/>
  <c r="AL19" i="1" s="1"/>
  <c r="AP8" i="1"/>
  <c r="AP18" i="1" s="1"/>
  <c r="AP19" i="1" s="1"/>
  <c r="O8" i="1"/>
  <c r="O18" i="1" s="1"/>
  <c r="O19" i="1" s="1"/>
  <c r="S8" i="1"/>
  <c r="S18" i="1" s="1"/>
  <c r="S19" i="1" s="1"/>
  <c r="W8" i="1"/>
  <c r="W18" i="1" s="1"/>
  <c r="W19" i="1" s="1"/>
  <c r="AA8" i="1"/>
  <c r="AA18" i="1" s="1"/>
  <c r="AA19" i="1" s="1"/>
  <c r="AE8" i="1"/>
  <c r="AE18" i="1" s="1"/>
  <c r="AE19" i="1" s="1"/>
  <c r="AI8" i="1"/>
  <c r="AI18" i="1" s="1"/>
  <c r="AI19" i="1" s="1"/>
  <c r="AM8" i="1"/>
  <c r="AM18" i="1" s="1"/>
  <c r="AM19" i="1" s="1"/>
  <c r="AQ8" i="1"/>
  <c r="AQ18" i="1" s="1"/>
  <c r="AQ19" i="1" s="1"/>
  <c r="P8" i="1"/>
  <c r="P18" i="1" s="1"/>
  <c r="P19" i="1" s="1"/>
  <c r="T8" i="1"/>
  <c r="T18" i="1" s="1"/>
  <c r="T19" i="1" s="1"/>
  <c r="X8" i="1"/>
  <c r="X18" i="1" s="1"/>
  <c r="X19" i="1" s="1"/>
  <c r="AB8" i="1"/>
  <c r="AB18" i="1" s="1"/>
  <c r="AB19" i="1" s="1"/>
  <c r="AF8" i="1"/>
  <c r="AF18" i="1" s="1"/>
  <c r="AF19" i="1" s="1"/>
  <c r="AJ8" i="1"/>
  <c r="AJ18" i="1" s="1"/>
  <c r="AJ19" i="1" s="1"/>
  <c r="AN8" i="1"/>
  <c r="AN18" i="1" s="1"/>
  <c r="AN19" i="1" s="1"/>
  <c r="AR8" i="1"/>
  <c r="AR18" i="1" s="1"/>
  <c r="AR19" i="1" s="1"/>
  <c r="K4" i="1"/>
  <c r="K19" i="1" l="1"/>
  <c r="F18" i="1" s="1"/>
  <c r="AR14" i="1"/>
  <c r="AR15" i="1" s="1"/>
  <c r="AR21" i="1"/>
  <c r="AR22" i="1" s="1"/>
  <c r="AR9" i="1"/>
  <c r="AA14" i="1"/>
  <c r="AA15" i="1" s="1"/>
  <c r="AA21" i="1"/>
  <c r="AA22" i="1" s="1"/>
  <c r="AA9" i="1"/>
  <c r="Z9" i="1"/>
  <c r="Z21" i="1"/>
  <c r="Z22" i="1" s="1"/>
  <c r="Z14" i="1"/>
  <c r="Z15" i="1" s="1"/>
  <c r="AC9" i="1"/>
  <c r="AC14" i="1"/>
  <c r="AC15" i="1" s="1"/>
  <c r="AC21" i="1"/>
  <c r="AC22" i="1" s="1"/>
  <c r="X14" i="1"/>
  <c r="X15" i="1" s="1"/>
  <c r="X21" i="1"/>
  <c r="X22" i="1" s="1"/>
  <c r="X9" i="1"/>
  <c r="W14" i="1"/>
  <c r="W15" i="1" s="1"/>
  <c r="W21" i="1"/>
  <c r="W22" i="1" s="1"/>
  <c r="W9" i="1"/>
  <c r="V9" i="1"/>
  <c r="V21" i="1"/>
  <c r="V22" i="1" s="1"/>
  <c r="V14" i="1"/>
  <c r="V15" i="1" s="1"/>
  <c r="AO9" i="1"/>
  <c r="AO14" i="1"/>
  <c r="AO15" i="1" s="1"/>
  <c r="AO21" i="1"/>
  <c r="AO22" i="1" s="1"/>
  <c r="Y9" i="1"/>
  <c r="Y14" i="1"/>
  <c r="Y15" i="1" s="1"/>
  <c r="Y21" i="1"/>
  <c r="Y22" i="1" s="1"/>
  <c r="AQ14" i="1"/>
  <c r="AQ15" i="1" s="1"/>
  <c r="AQ21" i="1"/>
  <c r="AQ22" i="1" s="1"/>
  <c r="AQ9" i="1"/>
  <c r="AI14" i="1"/>
  <c r="AI15" i="1" s="1"/>
  <c r="AI21" i="1"/>
  <c r="AI22" i="1" s="1"/>
  <c r="AI9" i="1"/>
  <c r="AH9" i="1"/>
  <c r="AH21" i="1"/>
  <c r="AH22" i="1" s="1"/>
  <c r="AH14" i="1"/>
  <c r="AH15" i="1" s="1"/>
  <c r="R9" i="1"/>
  <c r="R21" i="1"/>
  <c r="R22" i="1" s="1"/>
  <c r="R14" i="1"/>
  <c r="R15" i="1" s="1"/>
  <c r="AK9" i="1"/>
  <c r="AK14" i="1"/>
  <c r="AK15" i="1" s="1"/>
  <c r="AK21" i="1"/>
  <c r="AK22" i="1" s="1"/>
  <c r="U9" i="1"/>
  <c r="U14" i="1"/>
  <c r="U15" i="1" s="1"/>
  <c r="U21" i="1"/>
  <c r="U22" i="1" s="1"/>
  <c r="AB14" i="1"/>
  <c r="AB15" i="1" s="1"/>
  <c r="AB21" i="1"/>
  <c r="AB22" i="1" s="1"/>
  <c r="AB9" i="1"/>
  <c r="AP9" i="1"/>
  <c r="AP21" i="1"/>
  <c r="AP22" i="1" s="1"/>
  <c r="AP14" i="1"/>
  <c r="AP15" i="1" s="1"/>
  <c r="AS9" i="1"/>
  <c r="AS14" i="1"/>
  <c r="AS15" i="1" s="1"/>
  <c r="AS21" i="1"/>
  <c r="AS22" i="1" s="1"/>
  <c r="AN14" i="1"/>
  <c r="AN15" i="1" s="1"/>
  <c r="AN21" i="1"/>
  <c r="AN22" i="1" s="1"/>
  <c r="AN9" i="1"/>
  <c r="AM14" i="1"/>
  <c r="AM15" i="1" s="1"/>
  <c r="AM21" i="1"/>
  <c r="AM22" i="1" s="1"/>
  <c r="AM9" i="1"/>
  <c r="AL9" i="1"/>
  <c r="AL21" i="1"/>
  <c r="AL22" i="1" s="1"/>
  <c r="AL14" i="1"/>
  <c r="AL15" i="1" s="1"/>
  <c r="AJ14" i="1"/>
  <c r="AJ15" i="1" s="1"/>
  <c r="AJ21" i="1"/>
  <c r="AJ22" i="1" s="1"/>
  <c r="AJ9" i="1"/>
  <c r="T14" i="1"/>
  <c r="T15" i="1" s="1"/>
  <c r="T21" i="1"/>
  <c r="T22" i="1" s="1"/>
  <c r="T9" i="1"/>
  <c r="S14" i="1"/>
  <c r="S15" i="1" s="1"/>
  <c r="S21" i="1"/>
  <c r="S22" i="1" s="1"/>
  <c r="S9" i="1"/>
  <c r="M21" i="1"/>
  <c r="M22" i="1" s="1"/>
  <c r="M14" i="1"/>
  <c r="M15" i="1" s="1"/>
  <c r="AF14" i="1"/>
  <c r="AF15" i="1" s="1"/>
  <c r="AF21" i="1"/>
  <c r="AF22" i="1" s="1"/>
  <c r="AF9" i="1"/>
  <c r="P14" i="1"/>
  <c r="P15" i="1" s="1"/>
  <c r="P21" i="1"/>
  <c r="P22" i="1" s="1"/>
  <c r="P9" i="1"/>
  <c r="AE14" i="1"/>
  <c r="AE15" i="1" s="1"/>
  <c r="AE21" i="1"/>
  <c r="AE22" i="1" s="1"/>
  <c r="AE9" i="1"/>
  <c r="O14" i="1"/>
  <c r="O15" i="1" s="1"/>
  <c r="O21" i="1"/>
  <c r="O22" i="1" s="1"/>
  <c r="O9" i="1"/>
  <c r="AD9" i="1"/>
  <c r="AD21" i="1"/>
  <c r="AD22" i="1" s="1"/>
  <c r="AD14" i="1"/>
  <c r="AD15" i="1" s="1"/>
  <c r="N9" i="1"/>
  <c r="N21" i="1"/>
  <c r="N22" i="1" s="1"/>
  <c r="N14" i="1"/>
  <c r="N15" i="1" s="1"/>
  <c r="AG9" i="1"/>
  <c r="AG14" i="1"/>
  <c r="AG15" i="1" s="1"/>
  <c r="AG21" i="1"/>
  <c r="AG22" i="1" s="1"/>
  <c r="Q9" i="1"/>
  <c r="Q14" i="1"/>
  <c r="Q15" i="1" s="1"/>
  <c r="Q21" i="1"/>
  <c r="Q22" i="1" s="1"/>
  <c r="M9" i="1"/>
  <c r="K15" i="1" l="1"/>
  <c r="K22" i="1"/>
  <c r="K9" i="1"/>
  <c r="F15" i="1" l="1"/>
  <c r="F14" i="1"/>
  <c r="F17" i="1"/>
  <c r="F22" i="1"/>
</calcChain>
</file>

<file path=xl/sharedStrings.xml><?xml version="1.0" encoding="utf-8"?>
<sst xmlns="http://schemas.openxmlformats.org/spreadsheetml/2006/main" count="774" uniqueCount="119">
  <si>
    <t>unter -9.5°C</t>
  </si>
  <si>
    <t>-9.5°C bis -8.5°C</t>
  </si>
  <si>
    <t>-8.5°C bis -7.5°C</t>
  </si>
  <si>
    <t>-7.5°C bis -6.5°C</t>
  </si>
  <si>
    <t>-6.5°C bis -5.5°C</t>
  </si>
  <si>
    <t>-5.5°C bis -4.5°C</t>
  </si>
  <si>
    <t>-4.5°C bis -3.5°C</t>
  </si>
  <si>
    <t>-3.5°C bis -2.5°C</t>
  </si>
  <si>
    <t>-2.5°C bis -1.5°C</t>
  </si>
  <si>
    <t>-1.5°C bis -0.5°C</t>
  </si>
  <si>
    <t>-0.5°C bis 0.5°C</t>
  </si>
  <si>
    <t>0.5°C bis 1.5°C</t>
  </si>
  <si>
    <t>1.5°C bis 2.5°C</t>
  </si>
  <si>
    <t>2.5°C bis 3.5°C</t>
  </si>
  <si>
    <t>3.5°C bis 4.5°C</t>
  </si>
  <si>
    <t>4.5°C bis 5.5°C</t>
  </si>
  <si>
    <t>5.5°C bis 6.5°C</t>
  </si>
  <si>
    <t>6.5°C bis 7.5°C</t>
  </si>
  <si>
    <t>7.5°C bis 8.5°C</t>
  </si>
  <si>
    <t>8.5°C bis 9.5°C</t>
  </si>
  <si>
    <t>9.5°C bis 10.5°C</t>
  </si>
  <si>
    <t>10.5°C bis 11.5°C</t>
  </si>
  <si>
    <t>11.5°C bis 12.5°C</t>
  </si>
  <si>
    <t>12.5°C bis 13.5°C</t>
  </si>
  <si>
    <t>13.5°C bis 14.5°C</t>
  </si>
  <si>
    <t>14.5°C bis 15.5°C</t>
  </si>
  <si>
    <t>15.5°C bis 16.5°C</t>
  </si>
  <si>
    <t>16.5°C bis 17.5°C</t>
  </si>
  <si>
    <t>17.5°C bis 18.5°C</t>
  </si>
  <si>
    <t>18.5°C bis 19.5°C</t>
  </si>
  <si>
    <t>19.5°C bis 20.5°C</t>
  </si>
  <si>
    <t>20.5°C bis 21.5°C</t>
  </si>
  <si>
    <t>21.5°C bis 22.5°C</t>
  </si>
  <si>
    <t>Beschreibung</t>
  </si>
  <si>
    <t>Einheit</t>
  </si>
  <si>
    <t>Summe der Werte</t>
  </si>
  <si>
    <t>Temperaturbereich</t>
  </si>
  <si>
    <t>% der Tage im Temperaturbereich</t>
  </si>
  <si>
    <t>Tage pro Heizperiode im Temperaturbereich</t>
  </si>
  <si>
    <t>Parameter</t>
  </si>
  <si>
    <t>Mitte des Temperaturbereichs</t>
  </si>
  <si>
    <t>Anzahl Tage pro Heizperiode</t>
  </si>
  <si>
    <t>Wert</t>
  </si>
  <si>
    <t>°C</t>
  </si>
  <si>
    <t>Tage</t>
  </si>
  <si>
    <t>%</t>
  </si>
  <si>
    <t>COP Erdsonde-Wärmepumpe</t>
  </si>
  <si>
    <t>Benötigte Heizleistung für Siedlung</t>
  </si>
  <si>
    <t>kWh/Tag</t>
  </si>
  <si>
    <t>Energiebedarf Siedlung</t>
  </si>
  <si>
    <t>kWh</t>
  </si>
  <si>
    <t>kWh/Heizperiode</t>
  </si>
  <si>
    <t>Vorlauftemperatur</t>
  </si>
  <si>
    <t>K</t>
  </si>
  <si>
    <t>Heizgrenztemperatur</t>
  </si>
  <si>
    <t>Innentemperatur
hier: gleich Heizgrenztemperatur</t>
  </si>
  <si>
    <t>Heizkurvensteilheit</t>
  </si>
  <si>
    <t>Durchschnittstemperatur</t>
  </si>
  <si>
    <t>Berechnete Werte</t>
  </si>
  <si>
    <t>Energiebedarf pro
Abweichung von 20°C und Tag</t>
  </si>
  <si>
    <t>kWh/T/Tag</t>
  </si>
  <si>
    <t>Benötigte Heizleistung für diese Temperatur pro Heizperiode</t>
  </si>
  <si>
    <t>Aussentemperatur
(Mitte des Temperaturbereichs)</t>
  </si>
  <si>
    <t>Holzpellets pro Tag</t>
  </si>
  <si>
    <t>kg</t>
  </si>
  <si>
    <t>Energiedichte Holzpellets</t>
  </si>
  <si>
    <t>kWh/kg</t>
  </si>
  <si>
    <t>Holzpellets für diese Temperatur pro Heizperiode</t>
  </si>
  <si>
    <t>Volumen für Pelletspeicher</t>
  </si>
  <si>
    <t>Schüttdichte Holzpellets</t>
  </si>
  <si>
    <t>kg/m³</t>
  </si>
  <si>
    <t>Wirkungsgrad Pelletheizung</t>
  </si>
  <si>
    <t>m³</t>
  </si>
  <si>
    <t>Reservoirtemperatur für Erdsonde</t>
  </si>
  <si>
    <t>Reservoirtemperatur
für Erdsonde in Kelvin</t>
  </si>
  <si>
    <t>Gütegrad Erdsonde-Wärmepumpe</t>
  </si>
  <si>
    <t>Vorlauftemperatur in Kelvin</t>
  </si>
  <si>
    <t>Strombedarf pro Tag</t>
  </si>
  <si>
    <t>Strombedarf für diese Temperatur pro Heizperiode</t>
  </si>
  <si>
    <t>Jahresarbeitszahl Erdsonde</t>
  </si>
  <si>
    <t>Strombedarf Erdsonde pro Heizperiode</t>
  </si>
  <si>
    <t>JAZ luftwp</t>
  </si>
  <si>
    <t>Güte Luftwp</t>
  </si>
  <si>
    <t>pro kWh</t>
  </si>
  <si>
    <t>Ölpreis Fr./L</t>
  </si>
  <si>
    <t>Gaspreis Fr./kWh</t>
  </si>
  <si>
    <t>Strompreis Fr./kWh</t>
  </si>
  <si>
    <t>Holzpelletpreis Fr.kg</t>
  </si>
  <si>
    <t xml:space="preserve">https://www.hev-schweiz.ch/vermieten/statistiken/energiepreise/ </t>
  </si>
  <si>
    <t xml:space="preserve">https://stadt.winterthur.ch/gemeinde/verwaltung/stadtkanzlei/kommunikation-stadt-winterthur/medienmitteilungen-stadt-winterthur/neue-tarifordnung-und-hoehere-strompreise/download/beilage-preisuebersicht-strom-2023/download </t>
  </si>
  <si>
    <t>.</t>
  </si>
  <si>
    <t>Öl</t>
  </si>
  <si>
    <t>Gas</t>
  </si>
  <si>
    <t>Erdsonde</t>
  </si>
  <si>
    <t>Luftwärme</t>
  </si>
  <si>
    <t>Holzpellets</t>
  </si>
  <si>
    <t>Holzpellets pro Heizperiode</t>
  </si>
  <si>
    <t>Gesamtsondenanzahl</t>
  </si>
  <si>
    <t>Wärmeentnahme [kW]</t>
  </si>
  <si>
    <t>auf Basis der Preise von März-September 2022</t>
  </si>
  <si>
    <t>auf Basis der Preise von 2021</t>
  </si>
  <si>
    <t>Güte Luft-Wärmepumpe</t>
  </si>
  <si>
    <t>COP Luft-Wärmepumpe</t>
  </si>
  <si>
    <t>Strombedarf Luft-Wärmepumpe pro Heizperiode</t>
  </si>
  <si>
    <t>Holzpellets für diese Temperatur
 pro Heizperiode</t>
  </si>
  <si>
    <t>Jahresarbeitszahl Luft-Wärmepumpe</t>
  </si>
  <si>
    <t>Holzpellets pro Tag (kWh)</t>
  </si>
  <si>
    <t>Strombedarf Erdsonde
pro Heizperiode</t>
  </si>
  <si>
    <t>Strombedarf für diese Temperatur
pro Heizperiode</t>
  </si>
  <si>
    <t>m3</t>
  </si>
  <si>
    <t>Temperaturkategorie</t>
  </si>
  <si>
    <t>Energiebedarf Siedlung
pro Heizperiode</t>
  </si>
  <si>
    <t>Jahresarbeitszahl
Luft-Wärmepumpe</t>
  </si>
  <si>
    <t>Jahresarbeitszahl
Erdsonde-Wärmepumpe</t>
  </si>
  <si>
    <t>Holzpellets
pro Heizperiode</t>
  </si>
  <si>
    <t>Tage im Temperaturbereich
pro Heizperiode</t>
  </si>
  <si>
    <t>Summe</t>
  </si>
  <si>
    <t>Strombedarf
Luft-Wärmepumpe
pro Heizperiode</t>
  </si>
  <si>
    <t>Benötigte Heizleistung für
diese Temperatur pro Heizperiode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</si>
</sst>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9" fontId="0" fillId="0" borderId="0" xfId="1" applyFont="1"/>
    <xf numFmtId="10" fontId="0" fillId="0" borderId="0" xfId="1" applyNumberFormat="1" applyFont="1"/>
    <xf numFmtId="10" fontId="0" fillId="0" borderId="0" xfId="0" applyNumberFormat="1"/>
    <xf numFmtId="0" fontId="4" fillId="0" borderId="1" xfId="0" applyFont="1" applyBorder="1"/>
    <xf numFmtId="0" fontId="0" fillId="0" borderId="0" xfId="0" applyAlignment="1">
      <alignment wrapText="1"/>
    </xf>
    <xf numFmtId="2" fontId="0" fillId="0" borderId="0" xfId="0" applyNumberFormat="1"/>
    <xf numFmtId="0" fontId="2" fillId="2" borderId="0" xfId="2" applyNumberFormat="1"/>
    <xf numFmtId="0" fontId="2" fillId="2" borderId="0" xfId="2"/>
    <xf numFmtId="0" fontId="3" fillId="3" borderId="0" xfId="3"/>
    <xf numFmtId="4" fontId="0" fillId="0" borderId="0" xfId="0" applyNumberFormat="1"/>
    <xf numFmtId="4" fontId="5" fillId="0" borderId="0" xfId="4" applyNumberFormat="1"/>
    <xf numFmtId="0" fontId="0" fillId="0" borderId="0" xfId="0" applyAlignment="1">
      <alignment vertical="center" wrapText="1"/>
    </xf>
    <xf numFmtId="0" fontId="0" fillId="4" borderId="0" xfId="0" applyFill="1"/>
    <xf numFmtId="9" fontId="0" fillId="4" borderId="0" xfId="1" applyFont="1" applyFill="1"/>
    <xf numFmtId="0" fontId="7" fillId="0" borderId="1" xfId="0" applyFont="1" applyBorder="1"/>
    <xf numFmtId="0" fontId="6" fillId="0" borderId="0" xfId="0" applyFont="1"/>
    <xf numFmtId="0" fontId="6" fillId="0" borderId="0" xfId="0" applyFont="1" applyAlignment="1">
      <alignment wrapText="1"/>
    </xf>
    <xf numFmtId="0" fontId="0" fillId="5" borderId="0" xfId="0" applyFill="1"/>
    <xf numFmtId="2" fontId="0" fillId="5" borderId="0" xfId="0" applyNumberFormat="1" applyFill="1"/>
    <xf numFmtId="0" fontId="6" fillId="5" borderId="0" xfId="0" applyFont="1" applyFill="1"/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4" xfId="0" applyFill="1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9" fontId="0" fillId="0" borderId="6" xfId="0" applyNumberFormat="1" applyBorder="1" applyAlignment="1">
      <alignment vertical="center"/>
    </xf>
    <xf numFmtId="10" fontId="0" fillId="0" borderId="6" xfId="1" applyNumberFormat="1" applyFont="1" applyBorder="1" applyAlignment="1">
      <alignment vertical="center"/>
    </xf>
    <xf numFmtId="0" fontId="6" fillId="0" borderId="6" xfId="0" applyFont="1" applyBorder="1" applyAlignment="1">
      <alignment vertical="center" wrapText="1"/>
    </xf>
    <xf numFmtId="2" fontId="0" fillId="5" borderId="6" xfId="0" applyNumberFormat="1" applyFill="1" applyBorder="1" applyAlignment="1">
      <alignment vertical="center"/>
    </xf>
    <xf numFmtId="0" fontId="6" fillId="5" borderId="4" xfId="0" applyFont="1" applyFill="1" applyBorder="1" applyAlignment="1">
      <alignment horizontal="left" vertical="center"/>
    </xf>
    <xf numFmtId="1" fontId="0" fillId="0" borderId="6" xfId="0" applyNumberFormat="1" applyBorder="1" applyAlignment="1">
      <alignment vertical="center"/>
    </xf>
    <xf numFmtId="0" fontId="6" fillId="5" borderId="6" xfId="0" applyFont="1" applyFill="1" applyBorder="1" applyAlignment="1">
      <alignment vertical="center"/>
    </xf>
    <xf numFmtId="9" fontId="0" fillId="4" borderId="6" xfId="1" applyFont="1" applyFill="1" applyBorder="1" applyAlignment="1">
      <alignment vertical="center"/>
    </xf>
    <xf numFmtId="2" fontId="6" fillId="5" borderId="6" xfId="0" applyNumberFormat="1" applyFont="1" applyFill="1" applyBorder="1" applyAlignment="1">
      <alignment vertical="center"/>
    </xf>
    <xf numFmtId="1" fontId="6" fillId="5" borderId="6" xfId="0" applyNumberFormat="1" applyFont="1" applyFill="1" applyBorder="1" applyAlignment="1">
      <alignment vertical="center"/>
    </xf>
    <xf numFmtId="2" fontId="6" fillId="0" borderId="6" xfId="0" applyNumberFormat="1" applyFont="1" applyBorder="1" applyAlignment="1">
      <alignment vertical="center"/>
    </xf>
    <xf numFmtId="10" fontId="6" fillId="5" borderId="4" xfId="0" applyNumberFormat="1" applyFont="1" applyFill="1" applyBorder="1" applyAlignment="1">
      <alignment horizontal="left" vertical="center"/>
    </xf>
    <xf numFmtId="10" fontId="0" fillId="0" borderId="5" xfId="1" applyNumberFormat="1" applyFont="1" applyBorder="1" applyAlignment="1">
      <alignment vertical="center"/>
    </xf>
    <xf numFmtId="2" fontId="0" fillId="0" borderId="5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</cellXfs>
  <cellStyles count="5">
    <cellStyle name="Gut" xfId="2" builtinId="26"/>
    <cellStyle name="Link" xfId="4" builtinId="8"/>
    <cellStyle name="Neutral" xfId="3" builtinId="28"/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B48664"/>
      <color rgb="FF906646"/>
      <color rgb="FF8C684A"/>
      <color rgb="FF997D65"/>
      <color rgb="FFBD96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Tage der Heizperiode nach Temperaturkategorien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Anzahl Tage in der Heizperiode in der Kategorie</c:v>
          </c:tx>
          <c:spPr>
            <a:gradFill flip="none" rotWithShape="1">
              <a:gsLst>
                <a:gs pos="0">
                  <a:schemeClr val="accent4">
                    <a:lumMod val="60000"/>
                    <a:lumOff val="40000"/>
                  </a:schemeClr>
                </a:gs>
                <a:gs pos="50000">
                  <a:schemeClr val="accent4">
                    <a:lumMod val="60000"/>
                    <a:lumOff val="40000"/>
                  </a:schemeClr>
                </a:gs>
                <a:gs pos="54000">
                  <a:schemeClr val="bg1">
                    <a:alpha val="0"/>
                  </a:schemeClr>
                </a:gs>
                <a:gs pos="100000">
                  <a:schemeClr val="bg1">
                    <a:alpha val="97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schmierzettel!$M$4:$AS$4</c:f>
              <c:numCache>
                <c:formatCode>General</c:formatCode>
                <c:ptCount val="33"/>
                <c:pt idx="0">
                  <c:v>0.58093525179856054</c:v>
                </c:pt>
                <c:pt idx="1">
                  <c:v>0.58093525179856054</c:v>
                </c:pt>
                <c:pt idx="2">
                  <c:v>0.66392600205549646</c:v>
                </c:pt>
                <c:pt idx="3">
                  <c:v>0.82990750256937296</c:v>
                </c:pt>
                <c:pt idx="4">
                  <c:v>1.078879753340183</c:v>
                </c:pt>
                <c:pt idx="5">
                  <c:v>1.3278520041109954</c:v>
                </c:pt>
                <c:pt idx="6">
                  <c:v>2.904676258992803</c:v>
                </c:pt>
                <c:pt idx="7">
                  <c:v>3.3196300102774821</c:v>
                </c:pt>
                <c:pt idx="8">
                  <c:v>5.3114080164439716</c:v>
                </c:pt>
                <c:pt idx="9">
                  <c:v>7.8841212744090265</c:v>
                </c:pt>
                <c:pt idx="10">
                  <c:v>10.871788283658784</c:v>
                </c:pt>
                <c:pt idx="11">
                  <c:v>12.697584789311389</c:v>
                </c:pt>
                <c:pt idx="12">
                  <c:v>15.436279547790329</c:v>
                </c:pt>
                <c:pt idx="13">
                  <c:v>15.685251798561147</c:v>
                </c:pt>
                <c:pt idx="14">
                  <c:v>14.689362795477901</c:v>
                </c:pt>
                <c:pt idx="15">
                  <c:v>16.017214799588892</c:v>
                </c:pt>
                <c:pt idx="16">
                  <c:v>14.108427543679335</c:v>
                </c:pt>
                <c:pt idx="17">
                  <c:v>16.764131551901322</c:v>
                </c:pt>
                <c:pt idx="18">
                  <c:v>14.025436793422404</c:v>
                </c:pt>
                <c:pt idx="19">
                  <c:v>12.199640287769776</c:v>
                </c:pt>
                <c:pt idx="20">
                  <c:v>12.033658787255892</c:v>
                </c:pt>
                <c:pt idx="21">
                  <c:v>12.614594039054458</c:v>
                </c:pt>
                <c:pt idx="22">
                  <c:v>11.618705035971212</c:v>
                </c:pt>
                <c:pt idx="23">
                  <c:v>10.290853031860218</c:v>
                </c:pt>
                <c:pt idx="24">
                  <c:v>9.7929085303185861</c:v>
                </c:pt>
                <c:pt idx="25">
                  <c:v>7.3861767728674161</c:v>
                </c:pt>
                <c:pt idx="26">
                  <c:v>5.3943987667009026</c:v>
                </c:pt>
                <c:pt idx="27">
                  <c:v>2.6557040082219858</c:v>
                </c:pt>
                <c:pt idx="28">
                  <c:v>1.7428057553956819</c:v>
                </c:pt>
                <c:pt idx="29">
                  <c:v>0.99588900308324713</c:v>
                </c:pt>
                <c:pt idx="30">
                  <c:v>0.41495375128468648</c:v>
                </c:pt>
                <c:pt idx="31">
                  <c:v>0.16598150051387459</c:v>
                </c:pt>
                <c:pt idx="32">
                  <c:v>0.16598150051387459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B-4284-80DB-9762C67B9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06331920"/>
        <c:axId val="506330256"/>
      </c:barChart>
      <c:barChart>
        <c:barDir val="col"/>
        <c:grouping val="clustered"/>
        <c:varyColors val="0"/>
        <c:ser>
          <c:idx val="0"/>
          <c:order val="1"/>
          <c:tx>
            <c:v>Anteil der Tage in der Kategorie am jährlichen Energieverbrauch</c:v>
          </c:tx>
          <c:spPr>
            <a:gradFill flip="none" rotWithShape="1">
              <a:gsLst>
                <a:gs pos="0">
                  <a:schemeClr val="accent2"/>
                </a:gs>
                <a:gs pos="50000">
                  <a:schemeClr val="accent2"/>
                </a:gs>
                <a:gs pos="54000">
                  <a:schemeClr val="bg1">
                    <a:alpha val="0"/>
                  </a:schemeClr>
                </a:gs>
                <a:gs pos="100000">
                  <a:schemeClr val="bg1">
                    <a:alpha val="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numRef>
              <c:f>schmierzettel!$M$23:$AS$23</c:f>
              <c:numCache>
                <c:formatCode>General</c:formatCode>
                <c:ptCount val="33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</c:numCache>
            </c:numRef>
          </c:cat>
          <c:val>
            <c:numRef>
              <c:f>schmierzettel!$M$26:$AS$26</c:f>
              <c:numCache>
                <c:formatCode>0%</c:formatCode>
                <c:ptCount val="33"/>
                <c:pt idx="0">
                  <c:v>5.2782425563584288E-3</c:v>
                </c:pt>
                <c:pt idx="1">
                  <c:v>5.1023011378131481E-3</c:v>
                </c:pt>
                <c:pt idx="2">
                  <c:v>5.6301253934489797E-3</c:v>
                </c:pt>
                <c:pt idx="3">
                  <c:v>6.7863118581751288E-3</c:v>
                </c:pt>
                <c:pt idx="4">
                  <c:v>8.4954570669007034E-3</c:v>
                </c:pt>
                <c:pt idx="5">
                  <c:v>1.0053795345444625E-2</c:v>
                </c:pt>
                <c:pt idx="6">
                  <c:v>2.1112970225433715E-2</c:v>
                </c:pt>
                <c:pt idx="7">
                  <c:v>2.31237292945226E-2</c:v>
                </c:pt>
                <c:pt idx="8">
                  <c:v>3.5389359615965017E-2</c:v>
                </c:pt>
                <c:pt idx="9">
                  <c:v>5.0143304285405019E-2</c:v>
                </c:pt>
                <c:pt idx="10">
                  <c:v>6.5852359512662356E-2</c:v>
                </c:pt>
                <c:pt idx="11">
                  <c:v>7.3065957673018794E-2</c:v>
                </c:pt>
                <c:pt idx="12">
                  <c:v>8.415026704137156E-2</c:v>
                </c:pt>
                <c:pt idx="13">
                  <c:v>8.0757111112284022E-2</c:v>
                </c:pt>
                <c:pt idx="14">
                  <c:v>7.1180871045748023E-2</c:v>
                </c:pt>
                <c:pt idx="15">
                  <c:v>7.2764343812655535E-2</c:v>
                </c:pt>
                <c:pt idx="16">
                  <c:v>5.9820082305395567E-2</c:v>
                </c:pt>
                <c:pt idx="17">
                  <c:v>6.6003166442843986E-2</c:v>
                </c:pt>
                <c:pt idx="18">
                  <c:v>5.0972742401404307E-2</c:v>
                </c:pt>
                <c:pt idx="19">
                  <c:v>4.0642467683959925E-2</c:v>
                </c:pt>
                <c:pt idx="20">
                  <c:v>3.6445008127236757E-2</c:v>
                </c:pt>
                <c:pt idx="21">
                  <c:v>3.4383980081420622E-2</c:v>
                </c:pt>
                <c:pt idx="22">
                  <c:v>2.8150626967244959E-2</c:v>
                </c:pt>
                <c:pt idx="23">
                  <c:v>2.1816735899614845E-2</c:v>
                </c:pt>
                <c:pt idx="24">
                  <c:v>1.7795217761436978E-2</c:v>
                </c:pt>
                <c:pt idx="25">
                  <c:v>1.1184847321807152E-2</c:v>
                </c:pt>
                <c:pt idx="26">
                  <c:v>6.5349669745389874E-3</c:v>
                </c:pt>
                <c:pt idx="27">
                  <c:v>2.4129108829067055E-3</c:v>
                </c:pt>
                <c:pt idx="28">
                  <c:v>1.055648511271686E-3</c:v>
                </c:pt>
                <c:pt idx="29">
                  <c:v>3.0161386036333895E-4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B-4284-80DB-9762C67B9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10831680"/>
        <c:axId val="510832096"/>
      </c:barChart>
      <c:catAx>
        <c:axId val="50633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/>
                  <a:t>Temperaturkategorie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506330256"/>
        <c:crosses val="autoZero"/>
        <c:auto val="1"/>
        <c:lblAlgn val="ctr"/>
        <c:lblOffset val="100"/>
        <c:noMultiLvlLbl val="0"/>
      </c:catAx>
      <c:valAx>
        <c:axId val="5063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/>
                  <a:t>Anzahl Tage in Kategorie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506331920"/>
        <c:crosses val="autoZero"/>
        <c:crossBetween val="between"/>
      </c:valAx>
      <c:valAx>
        <c:axId val="510832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/>
                  <a:t>Anteil der Tage in der Kategorie am jährlichen Energieverbrauch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510831680"/>
        <c:crosses val="max"/>
        <c:crossBetween val="between"/>
      </c:valAx>
      <c:catAx>
        <c:axId val="51083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832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/>
              <a:t>Tage der Heizperiode nach Temperaturkategorien</a:t>
            </a:r>
            <a:endParaRPr lang="de-CH" sz="2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Anzahl Tage in Temperaturkategorie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'Schmierzettel Diagramme'!$M$25:$AS$25</c:f>
              <c:numCache>
                <c:formatCode>General</c:formatCode>
                <c:ptCount val="33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</c:numCache>
            </c:numRef>
          </c:cat>
          <c:val>
            <c:numRef>
              <c:f>'Schmierzettel Diagramme'!$M$4:$AS$4</c:f>
              <c:numCache>
                <c:formatCode>General</c:formatCode>
                <c:ptCount val="33"/>
                <c:pt idx="0">
                  <c:v>0.58093525179856054</c:v>
                </c:pt>
                <c:pt idx="1">
                  <c:v>0.58093525179856054</c:v>
                </c:pt>
                <c:pt idx="2">
                  <c:v>0.66392600205549646</c:v>
                </c:pt>
                <c:pt idx="3">
                  <c:v>0.82990750256937296</c:v>
                </c:pt>
                <c:pt idx="4">
                  <c:v>1.078879753340183</c:v>
                </c:pt>
                <c:pt idx="5">
                  <c:v>1.3278520041109954</c:v>
                </c:pt>
                <c:pt idx="6">
                  <c:v>2.904676258992803</c:v>
                </c:pt>
                <c:pt idx="7">
                  <c:v>3.3196300102774821</c:v>
                </c:pt>
                <c:pt idx="8">
                  <c:v>5.3114080164439716</c:v>
                </c:pt>
                <c:pt idx="9">
                  <c:v>7.8841212744090265</c:v>
                </c:pt>
                <c:pt idx="10">
                  <c:v>10.871788283658784</c:v>
                </c:pt>
                <c:pt idx="11">
                  <c:v>12.697584789311389</c:v>
                </c:pt>
                <c:pt idx="12">
                  <c:v>15.436279547790329</c:v>
                </c:pt>
                <c:pt idx="13">
                  <c:v>15.685251798561147</c:v>
                </c:pt>
                <c:pt idx="14">
                  <c:v>14.689362795477901</c:v>
                </c:pt>
                <c:pt idx="15">
                  <c:v>16.017214799588892</c:v>
                </c:pt>
                <c:pt idx="16">
                  <c:v>14.108427543679335</c:v>
                </c:pt>
                <c:pt idx="17">
                  <c:v>16.764131551901322</c:v>
                </c:pt>
                <c:pt idx="18">
                  <c:v>14.025436793422404</c:v>
                </c:pt>
                <c:pt idx="19">
                  <c:v>12.199640287769776</c:v>
                </c:pt>
                <c:pt idx="20">
                  <c:v>12.033658787255892</c:v>
                </c:pt>
                <c:pt idx="21">
                  <c:v>12.614594039054458</c:v>
                </c:pt>
                <c:pt idx="22">
                  <c:v>11.618705035971212</c:v>
                </c:pt>
                <c:pt idx="23">
                  <c:v>10.290853031860218</c:v>
                </c:pt>
                <c:pt idx="24">
                  <c:v>9.7929085303185861</c:v>
                </c:pt>
                <c:pt idx="25">
                  <c:v>7.3861767728674161</c:v>
                </c:pt>
                <c:pt idx="26">
                  <c:v>5.3943987667009026</c:v>
                </c:pt>
                <c:pt idx="27">
                  <c:v>2.6557040082219858</c:v>
                </c:pt>
                <c:pt idx="28">
                  <c:v>1.7428057553956819</c:v>
                </c:pt>
                <c:pt idx="29">
                  <c:v>0.99588900308324713</c:v>
                </c:pt>
                <c:pt idx="30">
                  <c:v>0.41495375128468648</c:v>
                </c:pt>
                <c:pt idx="31">
                  <c:v>0.16598150051387459</c:v>
                </c:pt>
                <c:pt idx="32">
                  <c:v>0.16598150051387459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BD-49E5-9C55-E79B4C729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21845472"/>
        <c:axId val="63940096"/>
      </c:barChart>
      <c:catAx>
        <c:axId val="182184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600"/>
                  <a:t>Mitte der Temperaturkategorie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3940096"/>
        <c:crosses val="autoZero"/>
        <c:auto val="1"/>
        <c:lblAlgn val="ctr"/>
        <c:lblOffset val="100"/>
        <c:noMultiLvlLbl val="0"/>
      </c:catAx>
      <c:valAx>
        <c:axId val="639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600"/>
                  <a:t>Anzahl Tage in Kategorie pro Heizperiode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821845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/>
              <a:t>Tage der Heizperiode nach Temperaturkategorien</a:t>
            </a:r>
            <a:endParaRPr lang="de-CH" sz="2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Anzahl Tage in Temperaturkategorie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'Schmierzettel Diagramme'!$M$25:$AS$25</c:f>
              <c:numCache>
                <c:formatCode>General</c:formatCode>
                <c:ptCount val="33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</c:numCache>
            </c:numRef>
          </c:cat>
          <c:val>
            <c:numRef>
              <c:f>'Schmierzettel Diagramme'!$M$4:$AS$4</c:f>
              <c:numCache>
                <c:formatCode>General</c:formatCode>
                <c:ptCount val="33"/>
                <c:pt idx="0">
                  <c:v>0.58093525179856054</c:v>
                </c:pt>
                <c:pt idx="1">
                  <c:v>0.58093525179856054</c:v>
                </c:pt>
                <c:pt idx="2">
                  <c:v>0.66392600205549646</c:v>
                </c:pt>
                <c:pt idx="3">
                  <c:v>0.82990750256937296</c:v>
                </c:pt>
                <c:pt idx="4">
                  <c:v>1.078879753340183</c:v>
                </c:pt>
                <c:pt idx="5">
                  <c:v>1.3278520041109954</c:v>
                </c:pt>
                <c:pt idx="6">
                  <c:v>2.904676258992803</c:v>
                </c:pt>
                <c:pt idx="7">
                  <c:v>3.3196300102774821</c:v>
                </c:pt>
                <c:pt idx="8">
                  <c:v>5.3114080164439716</c:v>
                </c:pt>
                <c:pt idx="9">
                  <c:v>7.8841212744090265</c:v>
                </c:pt>
                <c:pt idx="10">
                  <c:v>10.871788283658784</c:v>
                </c:pt>
                <c:pt idx="11">
                  <c:v>12.697584789311389</c:v>
                </c:pt>
                <c:pt idx="12">
                  <c:v>15.436279547790329</c:v>
                </c:pt>
                <c:pt idx="13">
                  <c:v>15.685251798561147</c:v>
                </c:pt>
                <c:pt idx="14">
                  <c:v>14.689362795477901</c:v>
                </c:pt>
                <c:pt idx="15">
                  <c:v>16.017214799588892</c:v>
                </c:pt>
                <c:pt idx="16">
                  <c:v>14.108427543679335</c:v>
                </c:pt>
                <c:pt idx="17">
                  <c:v>16.764131551901322</c:v>
                </c:pt>
                <c:pt idx="18">
                  <c:v>14.025436793422404</c:v>
                </c:pt>
                <c:pt idx="19">
                  <c:v>12.199640287769776</c:v>
                </c:pt>
                <c:pt idx="20">
                  <c:v>12.033658787255892</c:v>
                </c:pt>
                <c:pt idx="21">
                  <c:v>12.614594039054458</c:v>
                </c:pt>
                <c:pt idx="22">
                  <c:v>11.618705035971212</c:v>
                </c:pt>
                <c:pt idx="23">
                  <c:v>10.290853031860218</c:v>
                </c:pt>
                <c:pt idx="24">
                  <c:v>9.7929085303185861</c:v>
                </c:pt>
                <c:pt idx="25">
                  <c:v>7.3861767728674161</c:v>
                </c:pt>
                <c:pt idx="26">
                  <c:v>5.3943987667009026</c:v>
                </c:pt>
                <c:pt idx="27">
                  <c:v>2.6557040082219858</c:v>
                </c:pt>
                <c:pt idx="28">
                  <c:v>1.7428057553956819</c:v>
                </c:pt>
                <c:pt idx="29">
                  <c:v>0.99588900308324713</c:v>
                </c:pt>
                <c:pt idx="30">
                  <c:v>0.41495375128468648</c:v>
                </c:pt>
                <c:pt idx="31">
                  <c:v>0.16598150051387459</c:v>
                </c:pt>
                <c:pt idx="32">
                  <c:v>0.16598150051387459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3-482E-BF28-8DBCC0717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21845472"/>
        <c:axId val="63940096"/>
      </c:barChart>
      <c:barChart>
        <c:barDir val="col"/>
        <c:grouping val="clustered"/>
        <c:varyColors val="0"/>
        <c:ser>
          <c:idx val="3"/>
          <c:order val="3"/>
          <c:tx>
            <c:v>Benötigter Strom für alle Tage in der Kategorie</c:v>
          </c:tx>
          <c:invertIfNegative val="0"/>
          <c:val>
            <c:numRef>
              <c:f>'Schmierzettel Diagramme'!$M$19:$AS$19</c:f>
              <c:numCache>
                <c:formatCode>General</c:formatCode>
                <c:ptCount val="33"/>
                <c:pt idx="0">
                  <c:v>589.37489681081991</c:v>
                </c:pt>
                <c:pt idx="1">
                  <c:v>555.41433849418002</c:v>
                </c:pt>
                <c:pt idx="2">
                  <c:v>596.89364761524985</c:v>
                </c:pt>
                <c:pt idx="3">
                  <c:v>699.98500764738799</c:v>
                </c:pt>
                <c:pt idx="4">
                  <c:v>851.59146012702945</c:v>
                </c:pt>
                <c:pt idx="5">
                  <c:v>978.22590983624718</c:v>
                </c:pt>
                <c:pt idx="6">
                  <c:v>1991.3820825447383</c:v>
                </c:pt>
                <c:pt idx="7">
                  <c:v>2111.2608915903329</c:v>
                </c:pt>
                <c:pt idx="8">
                  <c:v>3122.9328290451344</c:v>
                </c:pt>
                <c:pt idx="9">
                  <c:v>4269.4575922229569</c:v>
                </c:pt>
                <c:pt idx="10">
                  <c:v>5399.9817759364714</c:v>
                </c:pt>
                <c:pt idx="11">
                  <c:v>5758.4408999783727</c:v>
                </c:pt>
                <c:pt idx="12">
                  <c:v>6359.5236594312519</c:v>
                </c:pt>
                <c:pt idx="13">
                  <c:v>5837.4809783156652</c:v>
                </c:pt>
                <c:pt idx="14">
                  <c:v>4907.3291572617854</c:v>
                </c:pt>
                <c:pt idx="15">
                  <c:v>4769.1210686029826</c:v>
                </c:pt>
                <c:pt idx="16">
                  <c:v>3713.7353991631649</c:v>
                </c:pt>
                <c:pt idx="17">
                  <c:v>3864.9315766648137</c:v>
                </c:pt>
                <c:pt idx="18">
                  <c:v>2801.5758042637281</c:v>
                </c:pt>
                <c:pt idx="19">
                  <c:v>2084.6561383577591</c:v>
                </c:pt>
                <c:pt idx="20">
                  <c:v>1732.6348340397542</c:v>
                </c:pt>
                <c:pt idx="21">
                  <c:v>1502.5714450766793</c:v>
                </c:pt>
                <c:pt idx="22">
                  <c:v>1119.2327535265226</c:v>
                </c:pt>
                <c:pt idx="23">
                  <c:v>778.97729893256417</c:v>
                </c:pt>
                <c:pt idx="24">
                  <c:v>560.97379290307595</c:v>
                </c:pt>
                <c:pt idx="25">
                  <c:v>304.13569823791863</c:v>
                </c:pt>
                <c:pt idx="26">
                  <c:v>148.19744503423172</c:v>
                </c:pt>
                <c:pt idx="27">
                  <c:v>43.268869411493284</c:v>
                </c:pt>
                <c:pt idx="28">
                  <c:v>13.58480070505137</c:v>
                </c:pt>
                <c:pt idx="29">
                  <c:v>2.1991472620782657</c:v>
                </c:pt>
                <c:pt idx="30">
                  <c:v>3.5034584983625509E-6</c:v>
                </c:pt>
                <c:pt idx="31">
                  <c:v>1.4013833993450203E-6</c:v>
                </c:pt>
                <c:pt idx="32">
                  <c:v>1.4013833993450203E-6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E3-482E-BF28-8DBCC0717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4665680"/>
        <c:axId val="114666928"/>
      </c:barChart>
      <c:lineChart>
        <c:grouping val="standard"/>
        <c:varyColors val="0"/>
        <c:ser>
          <c:idx val="0"/>
          <c:order val="1"/>
          <c:tx>
            <c:v>Energiebedarf der Siedlung pro Tag</c:v>
          </c:tx>
          <c:marker>
            <c:symbol val="none"/>
          </c:marker>
          <c:val>
            <c:numRef>
              <c:f>'Schmierzettel Diagramme'!$M$8:$AS$8</c:f>
              <c:numCache>
                <c:formatCode>General</c:formatCode>
                <c:ptCount val="33"/>
                <c:pt idx="0">
                  <c:v>1831.6907023071035</c:v>
                </c:pt>
                <c:pt idx="1">
                  <c:v>1770.6343455635333</c:v>
                </c:pt>
                <c:pt idx="2">
                  <c:v>1709.5779888199631</c:v>
                </c:pt>
                <c:pt idx="3">
                  <c:v>1648.521632076393</c:v>
                </c:pt>
                <c:pt idx="4">
                  <c:v>1587.465275332823</c:v>
                </c:pt>
                <c:pt idx="5">
                  <c:v>1526.4089185892528</c:v>
                </c:pt>
                <c:pt idx="6">
                  <c:v>1465.3525618456827</c:v>
                </c:pt>
                <c:pt idx="7">
                  <c:v>1404.2962051021127</c:v>
                </c:pt>
                <c:pt idx="8">
                  <c:v>1343.2398483585425</c:v>
                </c:pt>
                <c:pt idx="9">
                  <c:v>1282.1834916149724</c:v>
                </c:pt>
                <c:pt idx="10">
                  <c:v>1221.1271348714022</c:v>
                </c:pt>
                <c:pt idx="11">
                  <c:v>1160.0707781278322</c:v>
                </c:pt>
                <c:pt idx="12">
                  <c:v>1099.0144213842621</c:v>
                </c:pt>
                <c:pt idx="13">
                  <c:v>1037.9580646406919</c:v>
                </c:pt>
                <c:pt idx="14">
                  <c:v>976.90170789712181</c:v>
                </c:pt>
                <c:pt idx="15">
                  <c:v>915.84535115355175</c:v>
                </c:pt>
                <c:pt idx="16">
                  <c:v>854.78899440998157</c:v>
                </c:pt>
                <c:pt idx="17">
                  <c:v>793.73263766641151</c:v>
                </c:pt>
                <c:pt idx="18">
                  <c:v>732.67628092284133</c:v>
                </c:pt>
                <c:pt idx="19">
                  <c:v>671.61992417927127</c:v>
                </c:pt>
                <c:pt idx="20">
                  <c:v>610.56356743570109</c:v>
                </c:pt>
                <c:pt idx="21">
                  <c:v>549.50721069213103</c:v>
                </c:pt>
                <c:pt idx="22">
                  <c:v>488.4508539485609</c:v>
                </c:pt>
                <c:pt idx="23">
                  <c:v>427.39449720499078</c:v>
                </c:pt>
                <c:pt idx="24">
                  <c:v>366.33814046142066</c:v>
                </c:pt>
                <c:pt idx="25">
                  <c:v>305.28178371785054</c:v>
                </c:pt>
                <c:pt idx="26">
                  <c:v>244.22542697428045</c:v>
                </c:pt>
                <c:pt idx="27">
                  <c:v>183.16907023071033</c:v>
                </c:pt>
                <c:pt idx="28">
                  <c:v>122.11271348714023</c:v>
                </c:pt>
                <c:pt idx="29">
                  <c:v>61.056356743570113</c:v>
                </c:pt>
                <c:pt idx="30">
                  <c:v>6.1056356743644735E-2</c:v>
                </c:pt>
                <c:pt idx="31">
                  <c:v>6.1056356743644735E-2</c:v>
                </c:pt>
                <c:pt idx="32">
                  <c:v>6.1056356743644735E-2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3-482E-BF28-8DBCC07175D2}"/>
            </c:ext>
          </c:extLst>
        </c:ser>
        <c:ser>
          <c:idx val="2"/>
          <c:order val="2"/>
          <c:tx>
            <c:v>Benötigter Strom für Erdsonde pro Tag</c:v>
          </c:tx>
          <c:marker>
            <c:symbol val="none"/>
          </c:marker>
          <c:val>
            <c:numRef>
              <c:f>'Schmierzettel Diagramme'!$M$18:$AS$18</c:f>
              <c:numCache>
                <c:formatCode>General</c:formatCode>
                <c:ptCount val="33"/>
                <c:pt idx="0">
                  <c:v>1014.5276861511337</c:v>
                </c:pt>
                <c:pt idx="1">
                  <c:v>956.06926378564833</c:v>
                </c:pt>
                <c:pt idx="2">
                  <c:v>899.03640732142389</c:v>
                </c:pt>
                <c:pt idx="3">
                  <c:v>843.44942717140384</c:v>
                </c:pt>
                <c:pt idx="4">
                  <c:v>789.329355278496</c:v>
                </c:pt>
                <c:pt idx="5">
                  <c:v>736.6979955655338</c:v>
                </c:pt>
                <c:pt idx="6">
                  <c:v>685.57798012066598</c:v>
                </c:pt>
                <c:pt idx="7">
                  <c:v>635.99283204873075</c:v>
                </c:pt>
                <c:pt idx="8">
                  <c:v>587.96703611860005</c:v>
                </c:pt>
                <c:pt idx="9">
                  <c:v>541.52611858992293</c:v>
                </c:pt>
                <c:pt idx="10">
                  <c:v>496.69673792793594</c:v>
                </c:pt>
                <c:pt idx="11">
                  <c:v>453.50678853711855</c:v>
                </c:pt>
                <c:pt idx="12">
                  <c:v>411.98552019884897</c:v>
                </c:pt>
                <c:pt idx="13">
                  <c:v>372.16367663610947</c:v>
                </c:pt>
                <c:pt idx="14">
                  <c:v>334.07365762472006</c:v>
                </c:pt>
                <c:pt idx="15">
                  <c:v>297.74971043813372</c:v>
                </c:pt>
                <c:pt idx="16">
                  <c:v>263.2281583234938</c:v>
                </c:pt>
                <c:pt idx="17">
                  <c:v>230.54767643042436</c:v>
                </c:pt>
                <c:pt idx="18">
                  <c:v>199.74962958569679</c:v>
                </c:pt>
                <c:pt idx="19">
                  <c:v>170.87849224928715</c:v>
                </c:pt>
                <c:pt idx="20">
                  <c:v>143.98238014482189</c:v>
                </c:pt>
                <c:pt idx="21">
                  <c:v>119.11373766169224</c:v>
                </c:pt>
                <c:pt idx="22">
                  <c:v>96.330249374728666</c:v>
                </c:pt>
                <c:pt idx="23">
                  <c:v>75.696086273982374</c:v>
                </c:pt>
                <c:pt idx="24">
                  <c:v>57.283675341836997</c:v>
                </c:pt>
                <c:pt idx="25">
                  <c:v>41.17633622784917</c:v>
                </c:pt>
                <c:pt idx="26">
                  <c:v>27.472467543378531</c:v>
                </c:pt>
                <c:pt idx="27">
                  <c:v>16.29280570332163</c:v>
                </c:pt>
                <c:pt idx="28">
                  <c:v>7.7947876078519798</c:v>
                </c:pt>
                <c:pt idx="29">
                  <c:v>2.2082252693520679</c:v>
                </c:pt>
                <c:pt idx="30">
                  <c:v>8.4430095824316096E-6</c:v>
                </c:pt>
                <c:pt idx="31">
                  <c:v>8.4430095824316096E-6</c:v>
                </c:pt>
                <c:pt idx="32">
                  <c:v>8.4430095824316096E-6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3-482E-BF28-8DBCC0717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845472"/>
        <c:axId val="63940096"/>
      </c:lineChart>
      <c:catAx>
        <c:axId val="182184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600"/>
                  <a:t>Mitte der Temperaturkategorie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3940096"/>
        <c:crosses val="autoZero"/>
        <c:auto val="1"/>
        <c:lblAlgn val="ctr"/>
        <c:lblOffset val="100"/>
        <c:noMultiLvlLbl val="0"/>
      </c:catAx>
      <c:valAx>
        <c:axId val="639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600"/>
                  <a:t>Anzahl Tage in Kategorie pro Heizperiode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821845472"/>
        <c:crosses val="autoZero"/>
        <c:crossBetween val="between"/>
      </c:valAx>
      <c:valAx>
        <c:axId val="114666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4665680"/>
        <c:crosses val="max"/>
        <c:crossBetween val="between"/>
      </c:valAx>
      <c:catAx>
        <c:axId val="114665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146669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 rtl="0">
              <a:defRPr sz="2400"/>
            </a:pPr>
            <a:r>
              <a:rPr lang="en-US" sz="2400"/>
              <a:t>Verhalten</a:t>
            </a:r>
            <a:r>
              <a:rPr lang="en-US" sz="2400" baseline="0"/>
              <a:t> der Heizkonzepte nach Temperatur</a:t>
            </a:r>
            <a:endParaRPr lang="de-CH" sz="24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6574110294202"/>
          <c:y val="0.25769195710580017"/>
          <c:w val="0.79977320964383325"/>
          <c:h val="0.59238768545283471"/>
        </c:manualLayout>
      </c:layout>
      <c:lineChart>
        <c:grouping val="standard"/>
        <c:varyColors val="0"/>
        <c:ser>
          <c:idx val="2"/>
          <c:order val="0"/>
          <c:tx>
            <c:v>Strom für Erdsonde-Wärmepumpe pro Tag</c:v>
          </c:tx>
          <c:spPr>
            <a:ln w="57150">
              <a:solidFill>
                <a:srgbClr val="906646"/>
              </a:solidFill>
            </a:ln>
          </c:spPr>
          <c:marker>
            <c:symbol val="none"/>
          </c:marker>
          <c:cat>
            <c:numRef>
              <c:f>'Schmierzettel Diagramme'!$M$25:$AS$25</c:f>
              <c:numCache>
                <c:formatCode>General</c:formatCode>
                <c:ptCount val="33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</c:numCache>
            </c:numRef>
          </c:cat>
          <c:val>
            <c:numRef>
              <c:f>'Schmierzettel Diagramme'!$M$14:$AS$14</c:f>
              <c:numCache>
                <c:formatCode>General</c:formatCode>
                <c:ptCount val="33"/>
                <c:pt idx="0">
                  <c:v>634.53163684251786</c:v>
                </c:pt>
                <c:pt idx="1">
                  <c:v>602.76607843023783</c:v>
                </c:pt>
                <c:pt idx="2">
                  <c:v>571.57536564655913</c:v>
                </c:pt>
                <c:pt idx="3">
                  <c:v>540.97034803635142</c:v>
                </c:pt>
                <c:pt idx="4">
                  <c:v>510.96232601024417</c:v>
                </c:pt>
                <c:pt idx="5">
                  <c:v>481.56308516118014</c:v>
                </c:pt>
                <c:pt idx="6">
                  <c:v>452.78493465497081</c:v>
                </c:pt>
                <c:pt idx="7">
                  <c:v>424.64075037149604</c:v>
                </c:pt>
                <c:pt idx="8">
                  <c:v>397.14402362024441</c:v>
                </c:pt>
                <c:pt idx="9">
                  <c:v>370.3089164411532</c:v>
                </c:pt>
                <c:pt idx="10">
                  <c:v>344.15032474248608</c:v>
                </c:pt>
                <c:pt idx="11">
                  <c:v>318.68395084059637</c:v>
                </c:pt>
                <c:pt idx="12">
                  <c:v>293.92638737845874</c:v>
                </c:pt>
                <c:pt idx="13">
                  <c:v>269.89521514936314</c:v>
                </c:pt>
                <c:pt idx="14">
                  <c:v>246.60911809566696</c:v>
                </c:pt>
                <c:pt idx="15">
                  <c:v>224.08801977492419</c:v>
                </c:pt>
                <c:pt idx="16">
                  <c:v>202.35324701699631</c:v>
                </c:pt>
                <c:pt idx="17">
                  <c:v>181.42772854011849</c:v>
                </c:pt>
                <c:pt idx="18">
                  <c:v>161.33623928075508</c:v>
                </c:pt>
                <c:pt idx="19">
                  <c:v>142.10570566973269</c:v>
                </c:pt>
                <c:pt idx="20">
                  <c:v>123.76559400095358</c:v>
                </c:pt>
                <c:pt idx="21">
                  <c:v>106.34841508670932</c:v>
                </c:pt>
                <c:pt idx="22">
                  <c:v>89.890396773023156</c:v>
                </c:pt>
                <c:pt idx="23">
                  <c:v>74.432407972658325</c:v>
                </c:pt>
                <c:pt idx="24">
                  <c:v>60.021277261674157</c:v>
                </c:pt>
                <c:pt idx="25">
                  <c:v>46.711767354196311</c:v>
                </c:pt>
                <c:pt idx="26">
                  <c:v>34.569725593044673</c:v>
                </c:pt>
                <c:pt idx="27">
                  <c:v>23.677573986543571</c:v>
                </c:pt>
                <c:pt idx="28">
                  <c:v>14.145226753123474</c:v>
                </c:pt>
                <c:pt idx="29">
                  <c:v>6.1373490215785589</c:v>
                </c:pt>
                <c:pt idx="30">
                  <c:v>4.8125447919207063E-3</c:v>
                </c:pt>
                <c:pt idx="31">
                  <c:v>4.8125447919207063E-3</c:v>
                </c:pt>
                <c:pt idx="32">
                  <c:v>4.8125447919207063E-3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7-4671-9A15-DD0DD63AFAC4}"/>
            </c:ext>
          </c:extLst>
        </c:ser>
        <c:ser>
          <c:idx val="3"/>
          <c:order val="2"/>
          <c:tx>
            <c:v>Strom für Luft-Wärmepumpe pro Tag</c:v>
          </c:tx>
          <c:spPr>
            <a:ln w="571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'Schmierzettel Diagramme'!$M$25:$AS$25</c:f>
              <c:numCache>
                <c:formatCode>General</c:formatCode>
                <c:ptCount val="33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</c:numCache>
            </c:numRef>
          </c:cat>
          <c:val>
            <c:numRef>
              <c:f>'Schmierzettel Diagramme'!$M$18:$AS$18</c:f>
              <c:numCache>
                <c:formatCode>General</c:formatCode>
                <c:ptCount val="33"/>
                <c:pt idx="0">
                  <c:v>1014.5276861511337</c:v>
                </c:pt>
                <c:pt idx="1">
                  <c:v>956.06926378564833</c:v>
                </c:pt>
                <c:pt idx="2">
                  <c:v>899.03640732142389</c:v>
                </c:pt>
                <c:pt idx="3">
                  <c:v>843.44942717140384</c:v>
                </c:pt>
                <c:pt idx="4">
                  <c:v>789.329355278496</c:v>
                </c:pt>
                <c:pt idx="5">
                  <c:v>736.6979955655338</c:v>
                </c:pt>
                <c:pt idx="6">
                  <c:v>685.57798012066598</c:v>
                </c:pt>
                <c:pt idx="7">
                  <c:v>635.99283204873075</c:v>
                </c:pt>
                <c:pt idx="8">
                  <c:v>587.96703611860005</c:v>
                </c:pt>
                <c:pt idx="9">
                  <c:v>541.52611858992293</c:v>
                </c:pt>
                <c:pt idx="10">
                  <c:v>496.69673792793594</c:v>
                </c:pt>
                <c:pt idx="11">
                  <c:v>453.50678853711855</c:v>
                </c:pt>
                <c:pt idx="12">
                  <c:v>411.98552019884897</c:v>
                </c:pt>
                <c:pt idx="13">
                  <c:v>372.16367663610947</c:v>
                </c:pt>
                <c:pt idx="14">
                  <c:v>334.07365762472006</c:v>
                </c:pt>
                <c:pt idx="15">
                  <c:v>297.74971043813372</c:v>
                </c:pt>
                <c:pt idx="16">
                  <c:v>263.2281583234938</c:v>
                </c:pt>
                <c:pt idx="17">
                  <c:v>230.54767643042436</c:v>
                </c:pt>
                <c:pt idx="18">
                  <c:v>199.74962958569679</c:v>
                </c:pt>
                <c:pt idx="19">
                  <c:v>170.87849224928715</c:v>
                </c:pt>
                <c:pt idx="20">
                  <c:v>143.98238014482189</c:v>
                </c:pt>
                <c:pt idx="21">
                  <c:v>119.11373766169224</c:v>
                </c:pt>
                <c:pt idx="22">
                  <c:v>96.330249374728666</c:v>
                </c:pt>
                <c:pt idx="23">
                  <c:v>75.696086273982374</c:v>
                </c:pt>
                <c:pt idx="24">
                  <c:v>57.283675341836997</c:v>
                </c:pt>
                <c:pt idx="25">
                  <c:v>41.17633622784917</c:v>
                </c:pt>
                <c:pt idx="26">
                  <c:v>27.472467543378531</c:v>
                </c:pt>
                <c:pt idx="27">
                  <c:v>16.29280570332163</c:v>
                </c:pt>
                <c:pt idx="28">
                  <c:v>7.7947876078519798</c:v>
                </c:pt>
                <c:pt idx="29">
                  <c:v>2.2082252693520679</c:v>
                </c:pt>
                <c:pt idx="30">
                  <c:v>8.4430095824316096E-6</c:v>
                </c:pt>
                <c:pt idx="31">
                  <c:v>8.4430095824316096E-6</c:v>
                </c:pt>
                <c:pt idx="32">
                  <c:v>8.4430095824316096E-6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27-4671-9A15-DD0DD63AFAC4}"/>
            </c:ext>
          </c:extLst>
        </c:ser>
        <c:ser>
          <c:idx val="0"/>
          <c:order val="4"/>
          <c:tx>
            <c:strRef>
              <c:f>'Schmierzettel Diagramme'!$I$21</c:f>
              <c:strCache>
                <c:ptCount val="1"/>
                <c:pt idx="0">
                  <c:v>Holzpellets pro Tag (kWh)</c:v>
                </c:pt>
              </c:strCache>
            </c:strRef>
          </c:tx>
          <c:spPr>
            <a:ln w="571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'Schmierzettel Diagramme'!$M$21:$AS$21</c:f>
              <c:numCache>
                <c:formatCode>General</c:formatCode>
                <c:ptCount val="33"/>
                <c:pt idx="0">
                  <c:v>2035.2118914523371</c:v>
                </c:pt>
                <c:pt idx="1">
                  <c:v>1967.3714950705926</c:v>
                </c:pt>
                <c:pt idx="2">
                  <c:v>1899.5310986888478</c:v>
                </c:pt>
                <c:pt idx="3">
                  <c:v>1831.6907023071033</c:v>
                </c:pt>
                <c:pt idx="4">
                  <c:v>1763.850305925359</c:v>
                </c:pt>
                <c:pt idx="5">
                  <c:v>1696.0099095436142</c:v>
                </c:pt>
                <c:pt idx="6">
                  <c:v>1628.1695131618696</c:v>
                </c:pt>
                <c:pt idx="7">
                  <c:v>1560.3291167801251</c:v>
                </c:pt>
                <c:pt idx="8">
                  <c:v>1492.4887203983806</c:v>
                </c:pt>
                <c:pt idx="9">
                  <c:v>1424.648324016636</c:v>
                </c:pt>
                <c:pt idx="10">
                  <c:v>1356.8079276348913</c:v>
                </c:pt>
                <c:pt idx="11">
                  <c:v>1288.9675312531469</c:v>
                </c:pt>
                <c:pt idx="12">
                  <c:v>1221.1271348714022</c:v>
                </c:pt>
                <c:pt idx="13">
                  <c:v>1153.2867384896576</c:v>
                </c:pt>
                <c:pt idx="14">
                  <c:v>1085.4463421079131</c:v>
                </c:pt>
                <c:pt idx="15">
                  <c:v>1017.6059457261686</c:v>
                </c:pt>
                <c:pt idx="16">
                  <c:v>949.7655493444239</c:v>
                </c:pt>
                <c:pt idx="17">
                  <c:v>881.92515296267948</c:v>
                </c:pt>
                <c:pt idx="18">
                  <c:v>814.08475658093482</c:v>
                </c:pt>
                <c:pt idx="19">
                  <c:v>746.24436019919028</c:v>
                </c:pt>
                <c:pt idx="20">
                  <c:v>678.40396381744563</c:v>
                </c:pt>
                <c:pt idx="21">
                  <c:v>610.56356743570109</c:v>
                </c:pt>
                <c:pt idx="22">
                  <c:v>542.72317105395655</c:v>
                </c:pt>
                <c:pt idx="23">
                  <c:v>474.88277467221195</c:v>
                </c:pt>
                <c:pt idx="24">
                  <c:v>407.04237829046741</c:v>
                </c:pt>
                <c:pt idx="25">
                  <c:v>339.20198190872281</c:v>
                </c:pt>
                <c:pt idx="26">
                  <c:v>271.36158552697827</c:v>
                </c:pt>
                <c:pt idx="27">
                  <c:v>203.52118914523371</c:v>
                </c:pt>
                <c:pt idx="28">
                  <c:v>135.68079276348914</c:v>
                </c:pt>
                <c:pt idx="29">
                  <c:v>67.840396381744569</c:v>
                </c:pt>
                <c:pt idx="30">
                  <c:v>6.7840396381827484E-2</c:v>
                </c:pt>
                <c:pt idx="31">
                  <c:v>6.7840396381827484E-2</c:v>
                </c:pt>
                <c:pt idx="32">
                  <c:v>6.7840396381827484E-2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27-4671-9A15-DD0DD63AF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845472"/>
        <c:axId val="63940096"/>
      </c:lineChart>
      <c:lineChart>
        <c:grouping val="standard"/>
        <c:varyColors val="0"/>
        <c:ser>
          <c:idx val="4"/>
          <c:order val="1"/>
          <c:tx>
            <c:strRef>
              <c:f>'Schmierzettel Diagramme'!$I$13</c:f>
              <c:strCache>
                <c:ptCount val="1"/>
                <c:pt idx="0">
                  <c:v>COP Erdsonde-Wärmepumpe</c:v>
                </c:pt>
              </c:strCache>
            </c:strRef>
          </c:tx>
          <c:spPr>
            <a:ln w="31750">
              <a:solidFill>
                <a:srgbClr val="B48664"/>
              </a:solidFill>
              <a:prstDash val="dash"/>
            </a:ln>
          </c:spPr>
          <c:marker>
            <c:symbol val="none"/>
          </c:marker>
          <c:val>
            <c:numRef>
              <c:f>'Schmierzettel Diagramme'!$M$13:$AK$13</c:f>
              <c:numCache>
                <c:formatCode>0.00</c:formatCode>
                <c:ptCount val="25"/>
                <c:pt idx="0">
                  <c:v>2.8866814449500873</c:v>
                </c:pt>
                <c:pt idx="1">
                  <c:v>2.9375149148650386</c:v>
                </c:pt>
                <c:pt idx="2">
                  <c:v>2.9909931245656627</c:v>
                </c:pt>
                <c:pt idx="3">
                  <c:v>3.0473419440830751</c:v>
                </c:pt>
                <c:pt idx="4">
                  <c:v>3.1068147190581645</c:v>
                </c:pt>
                <c:pt idx="5">
                  <c:v>3.1696966931723196</c:v>
                </c:pt>
                <c:pt idx="6">
                  <c:v>3.2363103312222705</c:v>
                </c:pt>
                <c:pt idx="7">
                  <c:v>3.3070217681029606</c:v>
                </c:pt>
                <c:pt idx="8">
                  <c:v>3.3822486767243172</c:v>
                </c:pt>
                <c:pt idx="9">
                  <c:v>3.4624699397934364</c:v>
                </c:pt>
                <c:pt idx="10">
                  <c:v>3.548237636518643</c:v>
                </c:pt>
                <c:pt idx="11">
                  <c:v>3.6401920305930062</c:v>
                </c:pt>
                <c:pt idx="12">
                  <c:v>3.7390804928622297</c:v>
                </c:pt>
                <c:pt idx="13">
                  <c:v>3.8457816455407472</c:v>
                </c:pt>
                <c:pt idx="14">
                  <c:v>3.9613365290011409</c:v>
                </c:pt>
                <c:pt idx="15">
                  <c:v>4.0869893538861835</c:v>
                </c:pt>
                <c:pt idx="16">
                  <c:v>4.2242415528829396</c:v>
                </c:pt>
                <c:pt idx="17">
                  <c:v>4.3749246273063278</c:v>
                </c:pt>
                <c:pt idx="18">
                  <c:v>4.54130010832748</c:v>
                </c:pt>
                <c:pt idx="19">
                  <c:v>4.7261995640075174</c:v>
                </c:pt>
                <c:pt idx="20">
                  <c:v>4.9332253633509557</c:v>
                </c:pt>
                <c:pt idx="21">
                  <c:v>5.1670465445498168</c:v>
                </c:pt>
                <c:pt idx="22">
                  <c:v>5.4338491260853905</c:v>
                </c:pt>
                <c:pt idx="23">
                  <c:v>5.7420485087891828</c:v>
                </c:pt>
                <c:pt idx="24">
                  <c:v>6.1034712551067507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27-4671-9A15-DD0DD63AFAC4}"/>
            </c:ext>
          </c:extLst>
        </c:ser>
        <c:ser>
          <c:idx val="5"/>
          <c:order val="3"/>
          <c:tx>
            <c:strRef>
              <c:f>'Schmierzettel Diagramme'!$I$17</c:f>
              <c:strCache>
                <c:ptCount val="1"/>
                <c:pt idx="0">
                  <c:v>COP Luft-Wärmepumpe</c:v>
                </c:pt>
              </c:strCache>
            </c:strRef>
          </c:tx>
          <c:spPr>
            <a:ln w="31750"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'Schmierzettel Diagramme'!$M$17:$AK$17</c:f>
              <c:numCache>
                <c:formatCode>General</c:formatCode>
                <c:ptCount val="25"/>
                <c:pt idx="0">
                  <c:v>1.805461523929508</c:v>
                </c:pt>
                <c:pt idx="1">
                  <c:v>1.8519937965085669</c:v>
                </c:pt>
                <c:pt idx="2">
                  <c:v>1.9015670276506991</c:v>
                </c:pt>
                <c:pt idx="3">
                  <c:v>1.954499675937754</c:v>
                </c:pt>
                <c:pt idx="4">
                  <c:v>2.0111570217386934</c:v>
                </c:pt>
                <c:pt idx="5">
                  <c:v>2.0719601896262652</c:v>
                </c:pt>
                <c:pt idx="6">
                  <c:v>2.1373973557140378</c:v>
                </c:pt>
                <c:pt idx="7">
                  <c:v>2.2080377864927154</c:v>
                </c:pt>
                <c:pt idx="8">
                  <c:v>2.2845495850001951</c:v>
                </c:pt>
                <c:pt idx="9">
                  <c:v>2.3677223454219409</c:v>
                </c:pt>
                <c:pt idx="10">
                  <c:v>2.4584963854716748</c:v>
                </c:pt>
                <c:pt idx="11">
                  <c:v>2.5580009107909594</c:v>
                </c:pt>
                <c:pt idx="12">
                  <c:v>2.6676044848707585</c:v>
                </c:pt>
                <c:pt idx="13">
                  <c:v>2.7889827240060727</c:v>
                </c:pt>
                <c:pt idx="14">
                  <c:v>2.9242105314227418</c:v>
                </c:pt>
                <c:pt idx="15">
                  <c:v>3.0758899809034261</c:v>
                </c:pt>
                <c:pt idx="16">
                  <c:v>3.2473311360538037</c:v>
                </c:pt>
                <c:pt idx="17">
                  <c:v>3.4428134343221086</c:v>
                </c:pt>
                <c:pt idx="18">
                  <c:v>3.6679731644183491</c:v>
                </c:pt>
                <c:pt idx="19">
                  <c:v>3.9303947228155218</c:v>
                </c:pt>
                <c:pt idx="20">
                  <c:v>4.2405436472266782</c:v>
                </c:pt>
                <c:pt idx="21">
                  <c:v>4.6132983607050067</c:v>
                </c:pt>
                <c:pt idx="22">
                  <c:v>5.0705864161989949</c:v>
                </c:pt>
                <c:pt idx="23">
                  <c:v>5.6461901564901815</c:v>
                </c:pt>
                <c:pt idx="24">
                  <c:v>6.3951577526288101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27-4671-9A15-DD0DD63AF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41888"/>
        <c:axId val="64541472"/>
      </c:lineChart>
      <c:catAx>
        <c:axId val="182184547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 rtl="0">
                  <a:defRPr/>
                </a:pPr>
                <a:r>
                  <a:rPr lang="de-CH"/>
                  <a:t>Temperatur [°C]</a:t>
                </a:r>
              </a:p>
            </c:rich>
          </c:tx>
          <c:layout>
            <c:manualLayout>
              <c:xMode val="edge"/>
              <c:yMode val="edge"/>
              <c:x val="0.45150222909424187"/>
              <c:y val="0.922985993415391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63940096"/>
        <c:crosses val="autoZero"/>
        <c:auto val="1"/>
        <c:lblAlgn val="ctr"/>
        <c:lblOffset val="100"/>
        <c:noMultiLvlLbl val="0"/>
      </c:catAx>
      <c:valAx>
        <c:axId val="63940096"/>
        <c:scaling>
          <c:orientation val="minMax"/>
          <c:max val="2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Benötigte Energie pro Tag (kWh)</a:t>
                </a:r>
              </a:p>
            </c:rich>
          </c:tx>
          <c:layout>
            <c:manualLayout>
              <c:xMode val="edge"/>
              <c:yMode val="edge"/>
              <c:x val="1.958457064812592E-2"/>
              <c:y val="0.302216280144051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21845472"/>
        <c:crosses val="autoZero"/>
        <c:crossBetween val="between"/>
      </c:valAx>
      <c:valAx>
        <c:axId val="64541472"/>
        <c:scaling>
          <c:orientation val="minMax"/>
          <c:min val="1"/>
        </c:scaling>
        <c:delete val="0"/>
        <c:axPos val="r"/>
        <c:majorGridlines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de-CH"/>
                  <a:t>Coefficient of Performance</a:t>
                </a:r>
              </a:p>
            </c:rich>
          </c:tx>
          <c:layout>
            <c:manualLayout>
              <c:xMode val="edge"/>
              <c:yMode val="edge"/>
              <c:x val="0.96165004530690157"/>
              <c:y val="0.3548639067275845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 algn="ctr">
              <a:defRPr/>
            </a:pPr>
            <a:endParaRPr lang="de-DE"/>
          </a:p>
        </c:txPr>
        <c:crossAx val="64541888"/>
        <c:crosses val="max"/>
        <c:crossBetween val="between"/>
      </c:valAx>
      <c:catAx>
        <c:axId val="64541888"/>
        <c:scaling>
          <c:orientation val="minMax"/>
        </c:scaling>
        <c:delete val="1"/>
        <c:axPos val="b"/>
        <c:majorTickMark val="out"/>
        <c:minorTickMark val="none"/>
        <c:tickLblPos val="nextTo"/>
        <c:crossAx val="64541472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 algn="ctr" rtl="0">
        <a:defRPr lang="en-US" sz="16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/>
              <a:t>Erwartete</a:t>
            </a:r>
            <a:r>
              <a:rPr lang="de-CH" baseline="0"/>
              <a:t> j</a:t>
            </a:r>
            <a:r>
              <a:rPr lang="de-CH"/>
              <a:t>ährliche Energiekosten</a:t>
            </a:r>
          </a:p>
          <a:p>
            <a:pPr>
              <a:defRPr/>
            </a:pPr>
            <a:r>
              <a:rPr lang="de-CH"/>
              <a:t>für die betrachtete Siedlung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'schmierzettel-luftwp'!$A$33</c:f>
              <c:strCache>
                <c:ptCount val="1"/>
                <c:pt idx="0">
                  <c:v>auf Basis der Preise von 2021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'schmierzettel-luftwp'!$E$34:$E$38</c:f>
              <c:numCache>
                <c:formatCode>#,##0.00</c:formatCode>
                <c:ptCount val="5"/>
                <c:pt idx="0">
                  <c:v>17938.899999999998</c:v>
                </c:pt>
                <c:pt idx="1">
                  <c:v>19258.285714285717</c:v>
                </c:pt>
                <c:pt idx="2">
                  <c:v>12511.40017110456</c:v>
                </c:pt>
                <c:pt idx="3">
                  <c:v>14168.504951819748</c:v>
                </c:pt>
                <c:pt idx="4">
                  <c:v>15593.697777777781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C-4A21-B2AE-4793AF208D03}"/>
            </c:ext>
          </c:extLst>
        </c:ser>
        <c:ser>
          <c:idx val="0"/>
          <c:order val="1"/>
          <c:tx>
            <c:strRef>
              <c:f>'schmierzettel-luftwp'!$A$26</c:f>
              <c:strCache>
                <c:ptCount val="1"/>
                <c:pt idx="0">
                  <c:v>auf Basis der Preise von März-September 2022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'schmierzettel-luftwp'!$D$27:$D$31</c:f>
              <c:strCache>
                <c:ptCount val="5"/>
                <c:pt idx="0">
                  <c:v>Öl</c:v>
                </c:pt>
                <c:pt idx="1">
                  <c:v>Gas</c:v>
                </c:pt>
                <c:pt idx="2">
                  <c:v>Erdsonde</c:v>
                </c:pt>
                <c:pt idx="3">
                  <c:v>Luftwärme</c:v>
                </c:pt>
                <c:pt idx="4">
                  <c:v>Holzpellets</c:v>
                </c:pt>
              </c:strCache>
            </c:strRef>
          </c:cat>
          <c:val>
            <c:numRef>
              <c:f>'schmierzettel-luftwp'!$E$27:$E$31</c:f>
              <c:numCache>
                <c:formatCode>#,##0.00</c:formatCode>
                <c:ptCount val="5"/>
                <c:pt idx="0">
                  <c:v>30842.399999999998</c:v>
                </c:pt>
                <c:pt idx="1">
                  <c:v>28291.591836734693</c:v>
                </c:pt>
                <c:pt idx="2">
                  <c:v>16681.86689480608</c:v>
                </c:pt>
                <c:pt idx="3">
                  <c:v>18891.339935759668</c:v>
                </c:pt>
                <c:pt idx="4">
                  <c:v>22837.35466666667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C-4A21-B2AE-4793AF208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050880"/>
        <c:axId val="347048384"/>
      </c:barChart>
      <c:catAx>
        <c:axId val="34705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347048384"/>
        <c:crosses val="autoZero"/>
        <c:auto val="1"/>
        <c:lblAlgn val="ctr"/>
        <c:lblOffset val="100"/>
        <c:noMultiLvlLbl val="0"/>
      </c:catAx>
      <c:valAx>
        <c:axId val="3470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/>
                  <a:t>Energiekosten in Fr.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3470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Tage der Heizperiode nach Temperaturkategorien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Anzahl Tage in der Heizperiode in der Kategorie</c:v>
          </c:tx>
          <c:spPr>
            <a:gradFill flip="none" rotWithShape="1">
              <a:gsLst>
                <a:gs pos="0">
                  <a:schemeClr val="accent4">
                    <a:lumMod val="60000"/>
                    <a:lumOff val="40000"/>
                  </a:schemeClr>
                </a:gs>
                <a:gs pos="50000">
                  <a:schemeClr val="accent4">
                    <a:lumMod val="60000"/>
                    <a:lumOff val="40000"/>
                  </a:schemeClr>
                </a:gs>
                <a:gs pos="54000">
                  <a:schemeClr val="bg1">
                    <a:alpha val="0"/>
                  </a:schemeClr>
                </a:gs>
                <a:gs pos="100000">
                  <a:schemeClr val="bg1">
                    <a:alpha val="97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schmierzettel!$M$4:$AS$4</c:f>
              <c:numCache>
                <c:formatCode>General</c:formatCode>
                <c:ptCount val="33"/>
                <c:pt idx="0">
                  <c:v>0.58093525179856054</c:v>
                </c:pt>
                <c:pt idx="1">
                  <c:v>0.58093525179856054</c:v>
                </c:pt>
                <c:pt idx="2">
                  <c:v>0.66392600205549646</c:v>
                </c:pt>
                <c:pt idx="3">
                  <c:v>0.82990750256937296</c:v>
                </c:pt>
                <c:pt idx="4">
                  <c:v>1.078879753340183</c:v>
                </c:pt>
                <c:pt idx="5">
                  <c:v>1.3278520041109954</c:v>
                </c:pt>
                <c:pt idx="6">
                  <c:v>2.904676258992803</c:v>
                </c:pt>
                <c:pt idx="7">
                  <c:v>3.3196300102774821</c:v>
                </c:pt>
                <c:pt idx="8">
                  <c:v>5.3114080164439716</c:v>
                </c:pt>
                <c:pt idx="9">
                  <c:v>7.8841212744090265</c:v>
                </c:pt>
                <c:pt idx="10">
                  <c:v>10.871788283658784</c:v>
                </c:pt>
                <c:pt idx="11">
                  <c:v>12.697584789311389</c:v>
                </c:pt>
                <c:pt idx="12">
                  <c:v>15.436279547790329</c:v>
                </c:pt>
                <c:pt idx="13">
                  <c:v>15.685251798561147</c:v>
                </c:pt>
                <c:pt idx="14">
                  <c:v>14.689362795477901</c:v>
                </c:pt>
                <c:pt idx="15">
                  <c:v>16.017214799588892</c:v>
                </c:pt>
                <c:pt idx="16">
                  <c:v>14.108427543679335</c:v>
                </c:pt>
                <c:pt idx="17">
                  <c:v>16.764131551901322</c:v>
                </c:pt>
                <c:pt idx="18">
                  <c:v>14.025436793422404</c:v>
                </c:pt>
                <c:pt idx="19">
                  <c:v>12.199640287769776</c:v>
                </c:pt>
                <c:pt idx="20">
                  <c:v>12.033658787255892</c:v>
                </c:pt>
                <c:pt idx="21">
                  <c:v>12.614594039054458</c:v>
                </c:pt>
                <c:pt idx="22">
                  <c:v>11.618705035971212</c:v>
                </c:pt>
                <c:pt idx="23">
                  <c:v>10.290853031860218</c:v>
                </c:pt>
                <c:pt idx="24">
                  <c:v>9.7929085303185861</c:v>
                </c:pt>
                <c:pt idx="25">
                  <c:v>7.3861767728674161</c:v>
                </c:pt>
                <c:pt idx="26">
                  <c:v>5.3943987667009026</c:v>
                </c:pt>
                <c:pt idx="27">
                  <c:v>2.6557040082219858</c:v>
                </c:pt>
                <c:pt idx="28">
                  <c:v>1.7428057553956819</c:v>
                </c:pt>
                <c:pt idx="29">
                  <c:v>0.99588900308324713</c:v>
                </c:pt>
                <c:pt idx="30">
                  <c:v>0.41495375128468648</c:v>
                </c:pt>
                <c:pt idx="31">
                  <c:v>0.16598150051387459</c:v>
                </c:pt>
                <c:pt idx="32">
                  <c:v>0.16598150051387459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C-43AD-84B9-80961B7E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06331920"/>
        <c:axId val="506330256"/>
      </c:barChart>
      <c:barChart>
        <c:barDir val="col"/>
        <c:grouping val="clustered"/>
        <c:varyColors val="0"/>
        <c:ser>
          <c:idx val="0"/>
          <c:order val="1"/>
          <c:tx>
            <c:v>Anteil der Tage in der Kategorie am jährlichen Energieverbrauch</c:v>
          </c:tx>
          <c:spPr>
            <a:gradFill flip="none" rotWithShape="1">
              <a:gsLst>
                <a:gs pos="0">
                  <a:schemeClr val="accent2"/>
                </a:gs>
                <a:gs pos="50000">
                  <a:schemeClr val="accent2"/>
                </a:gs>
                <a:gs pos="54000">
                  <a:schemeClr val="bg1">
                    <a:alpha val="0"/>
                  </a:schemeClr>
                </a:gs>
                <a:gs pos="100000">
                  <a:schemeClr val="bg1">
                    <a:alpha val="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numRef>
              <c:f>schmierzettel!$M$23:$AS$23</c:f>
              <c:numCache>
                <c:formatCode>General</c:formatCode>
                <c:ptCount val="33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</c:numCache>
            </c:numRef>
          </c:cat>
          <c:val>
            <c:numRef>
              <c:f>schmierzettel!$M$26:$AS$26</c:f>
              <c:numCache>
                <c:formatCode>0%</c:formatCode>
                <c:ptCount val="33"/>
                <c:pt idx="0">
                  <c:v>5.2782425563584288E-3</c:v>
                </c:pt>
                <c:pt idx="1">
                  <c:v>5.1023011378131481E-3</c:v>
                </c:pt>
                <c:pt idx="2">
                  <c:v>5.6301253934489797E-3</c:v>
                </c:pt>
                <c:pt idx="3">
                  <c:v>6.7863118581751288E-3</c:v>
                </c:pt>
                <c:pt idx="4">
                  <c:v>8.4954570669007034E-3</c:v>
                </c:pt>
                <c:pt idx="5">
                  <c:v>1.0053795345444625E-2</c:v>
                </c:pt>
                <c:pt idx="6">
                  <c:v>2.1112970225433715E-2</c:v>
                </c:pt>
                <c:pt idx="7">
                  <c:v>2.31237292945226E-2</c:v>
                </c:pt>
                <c:pt idx="8">
                  <c:v>3.5389359615965017E-2</c:v>
                </c:pt>
                <c:pt idx="9">
                  <c:v>5.0143304285405019E-2</c:v>
                </c:pt>
                <c:pt idx="10">
                  <c:v>6.5852359512662356E-2</c:v>
                </c:pt>
                <c:pt idx="11">
                  <c:v>7.3065957673018794E-2</c:v>
                </c:pt>
                <c:pt idx="12">
                  <c:v>8.415026704137156E-2</c:v>
                </c:pt>
                <c:pt idx="13">
                  <c:v>8.0757111112284022E-2</c:v>
                </c:pt>
                <c:pt idx="14">
                  <c:v>7.1180871045748023E-2</c:v>
                </c:pt>
                <c:pt idx="15">
                  <c:v>7.2764343812655535E-2</c:v>
                </c:pt>
                <c:pt idx="16">
                  <c:v>5.9820082305395567E-2</c:v>
                </c:pt>
                <c:pt idx="17">
                  <c:v>6.6003166442843986E-2</c:v>
                </c:pt>
                <c:pt idx="18">
                  <c:v>5.0972742401404307E-2</c:v>
                </c:pt>
                <c:pt idx="19">
                  <c:v>4.0642467683959925E-2</c:v>
                </c:pt>
                <c:pt idx="20">
                  <c:v>3.6445008127236757E-2</c:v>
                </c:pt>
                <c:pt idx="21">
                  <c:v>3.4383980081420622E-2</c:v>
                </c:pt>
                <c:pt idx="22">
                  <c:v>2.8150626967244959E-2</c:v>
                </c:pt>
                <c:pt idx="23">
                  <c:v>2.1816735899614845E-2</c:v>
                </c:pt>
                <c:pt idx="24">
                  <c:v>1.7795217761436978E-2</c:v>
                </c:pt>
                <c:pt idx="25">
                  <c:v>1.1184847321807152E-2</c:v>
                </c:pt>
                <c:pt idx="26">
                  <c:v>6.5349669745389874E-3</c:v>
                </c:pt>
                <c:pt idx="27">
                  <c:v>2.4129108829067055E-3</c:v>
                </c:pt>
                <c:pt idx="28">
                  <c:v>1.055648511271686E-3</c:v>
                </c:pt>
                <c:pt idx="29">
                  <c:v>3.0161386036333895E-4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C-43AD-84B9-80961B7E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10831680"/>
        <c:axId val="510832096"/>
      </c:barChart>
      <c:catAx>
        <c:axId val="50633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/>
                  <a:t>Temperaturkategorie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506330256"/>
        <c:crosses val="autoZero"/>
        <c:auto val="1"/>
        <c:lblAlgn val="ctr"/>
        <c:lblOffset val="100"/>
        <c:noMultiLvlLbl val="0"/>
      </c:catAx>
      <c:valAx>
        <c:axId val="5063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/>
                  <a:t>Anzahl Tage in Kategorie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506331920"/>
        <c:crosses val="autoZero"/>
        <c:crossBetween val="between"/>
      </c:valAx>
      <c:valAx>
        <c:axId val="510832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/>
                  <a:t>Anteil der Tage in der Kategorie am jährlichen Energieverbrauch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510831680"/>
        <c:crosses val="max"/>
        <c:crossBetween val="between"/>
      </c:valAx>
      <c:catAx>
        <c:axId val="51083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832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Tage der Heizperiode nach Temperaturkategorien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Anzahl Tage in der Heizperiode in der Kategorie</c:v>
          </c:tx>
          <c:spPr>
            <a:gradFill flip="none" rotWithShape="1">
              <a:gsLst>
                <a:gs pos="0">
                  <a:schemeClr val="accent4">
                    <a:lumMod val="60000"/>
                    <a:lumOff val="40000"/>
                  </a:schemeClr>
                </a:gs>
                <a:gs pos="50000">
                  <a:schemeClr val="accent4">
                    <a:lumMod val="60000"/>
                    <a:lumOff val="40000"/>
                  </a:schemeClr>
                </a:gs>
                <a:gs pos="54000">
                  <a:schemeClr val="bg1">
                    <a:alpha val="0"/>
                  </a:schemeClr>
                </a:gs>
                <a:gs pos="100000">
                  <a:schemeClr val="bg1">
                    <a:alpha val="97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schmierzettel!$M$4:$AS$4</c:f>
              <c:numCache>
                <c:formatCode>General</c:formatCode>
                <c:ptCount val="33"/>
                <c:pt idx="0">
                  <c:v>0.58093525179856054</c:v>
                </c:pt>
                <c:pt idx="1">
                  <c:v>0.58093525179856054</c:v>
                </c:pt>
                <c:pt idx="2">
                  <c:v>0.66392600205549646</c:v>
                </c:pt>
                <c:pt idx="3">
                  <c:v>0.82990750256937296</c:v>
                </c:pt>
                <c:pt idx="4">
                  <c:v>1.078879753340183</c:v>
                </c:pt>
                <c:pt idx="5">
                  <c:v>1.3278520041109954</c:v>
                </c:pt>
                <c:pt idx="6">
                  <c:v>2.904676258992803</c:v>
                </c:pt>
                <c:pt idx="7">
                  <c:v>3.3196300102774821</c:v>
                </c:pt>
                <c:pt idx="8">
                  <c:v>5.3114080164439716</c:v>
                </c:pt>
                <c:pt idx="9">
                  <c:v>7.8841212744090265</c:v>
                </c:pt>
                <c:pt idx="10">
                  <c:v>10.871788283658784</c:v>
                </c:pt>
                <c:pt idx="11">
                  <c:v>12.697584789311389</c:v>
                </c:pt>
                <c:pt idx="12">
                  <c:v>15.436279547790329</c:v>
                </c:pt>
                <c:pt idx="13">
                  <c:v>15.685251798561147</c:v>
                </c:pt>
                <c:pt idx="14">
                  <c:v>14.689362795477901</c:v>
                </c:pt>
                <c:pt idx="15">
                  <c:v>16.017214799588892</c:v>
                </c:pt>
                <c:pt idx="16">
                  <c:v>14.108427543679335</c:v>
                </c:pt>
                <c:pt idx="17">
                  <c:v>16.764131551901322</c:v>
                </c:pt>
                <c:pt idx="18">
                  <c:v>14.025436793422404</c:v>
                </c:pt>
                <c:pt idx="19">
                  <c:v>12.199640287769776</c:v>
                </c:pt>
                <c:pt idx="20">
                  <c:v>12.033658787255892</c:v>
                </c:pt>
                <c:pt idx="21">
                  <c:v>12.614594039054458</c:v>
                </c:pt>
                <c:pt idx="22">
                  <c:v>11.618705035971212</c:v>
                </c:pt>
                <c:pt idx="23">
                  <c:v>10.290853031860218</c:v>
                </c:pt>
                <c:pt idx="24">
                  <c:v>9.7929085303185861</c:v>
                </c:pt>
                <c:pt idx="25">
                  <c:v>7.3861767728674161</c:v>
                </c:pt>
                <c:pt idx="26">
                  <c:v>5.3943987667009026</c:v>
                </c:pt>
                <c:pt idx="27">
                  <c:v>2.6557040082219858</c:v>
                </c:pt>
                <c:pt idx="28">
                  <c:v>1.7428057553956819</c:v>
                </c:pt>
                <c:pt idx="29">
                  <c:v>0.99588900308324713</c:v>
                </c:pt>
                <c:pt idx="30">
                  <c:v>0.41495375128468648</c:v>
                </c:pt>
                <c:pt idx="31">
                  <c:v>0.16598150051387459</c:v>
                </c:pt>
                <c:pt idx="32">
                  <c:v>0.16598150051387459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A-402B-8C0E-C7966A74D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06331920"/>
        <c:axId val="506330256"/>
      </c:barChart>
      <c:barChart>
        <c:barDir val="col"/>
        <c:grouping val="clustered"/>
        <c:varyColors val="0"/>
        <c:ser>
          <c:idx val="0"/>
          <c:order val="1"/>
          <c:tx>
            <c:v>Anteil der Tage in der Kategorie am jährlichen Energieverbrauch</c:v>
          </c:tx>
          <c:spPr>
            <a:gradFill flip="none" rotWithShape="1">
              <a:gsLst>
                <a:gs pos="0">
                  <a:schemeClr val="accent2"/>
                </a:gs>
                <a:gs pos="50000">
                  <a:schemeClr val="accent2"/>
                </a:gs>
                <a:gs pos="54000">
                  <a:schemeClr val="bg1">
                    <a:alpha val="0"/>
                  </a:schemeClr>
                </a:gs>
                <a:gs pos="100000">
                  <a:schemeClr val="bg1">
                    <a:alpha val="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numRef>
              <c:f>schmierzettel!$M$23:$AS$23</c:f>
              <c:numCache>
                <c:formatCode>General</c:formatCode>
                <c:ptCount val="33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</c:numCache>
            </c:numRef>
          </c:cat>
          <c:val>
            <c:numRef>
              <c:f>schmierzettel!$M$26:$AS$26</c:f>
              <c:numCache>
                <c:formatCode>0%</c:formatCode>
                <c:ptCount val="33"/>
                <c:pt idx="0">
                  <c:v>5.2782425563584288E-3</c:v>
                </c:pt>
                <c:pt idx="1">
                  <c:v>5.1023011378131481E-3</c:v>
                </c:pt>
                <c:pt idx="2">
                  <c:v>5.6301253934489797E-3</c:v>
                </c:pt>
                <c:pt idx="3">
                  <c:v>6.7863118581751288E-3</c:v>
                </c:pt>
                <c:pt idx="4">
                  <c:v>8.4954570669007034E-3</c:v>
                </c:pt>
                <c:pt idx="5">
                  <c:v>1.0053795345444625E-2</c:v>
                </c:pt>
                <c:pt idx="6">
                  <c:v>2.1112970225433715E-2</c:v>
                </c:pt>
                <c:pt idx="7">
                  <c:v>2.31237292945226E-2</c:v>
                </c:pt>
                <c:pt idx="8">
                  <c:v>3.5389359615965017E-2</c:v>
                </c:pt>
                <c:pt idx="9">
                  <c:v>5.0143304285405019E-2</c:v>
                </c:pt>
                <c:pt idx="10">
                  <c:v>6.5852359512662356E-2</c:v>
                </c:pt>
                <c:pt idx="11">
                  <c:v>7.3065957673018794E-2</c:v>
                </c:pt>
                <c:pt idx="12">
                  <c:v>8.415026704137156E-2</c:v>
                </c:pt>
                <c:pt idx="13">
                  <c:v>8.0757111112284022E-2</c:v>
                </c:pt>
                <c:pt idx="14">
                  <c:v>7.1180871045748023E-2</c:v>
                </c:pt>
                <c:pt idx="15">
                  <c:v>7.2764343812655535E-2</c:v>
                </c:pt>
                <c:pt idx="16">
                  <c:v>5.9820082305395567E-2</c:v>
                </c:pt>
                <c:pt idx="17">
                  <c:v>6.6003166442843986E-2</c:v>
                </c:pt>
                <c:pt idx="18">
                  <c:v>5.0972742401404307E-2</c:v>
                </c:pt>
                <c:pt idx="19">
                  <c:v>4.0642467683959925E-2</c:v>
                </c:pt>
                <c:pt idx="20">
                  <c:v>3.6445008127236757E-2</c:v>
                </c:pt>
                <c:pt idx="21">
                  <c:v>3.4383980081420622E-2</c:v>
                </c:pt>
                <c:pt idx="22">
                  <c:v>2.8150626967244959E-2</c:v>
                </c:pt>
                <c:pt idx="23">
                  <c:v>2.1816735899614845E-2</c:v>
                </c:pt>
                <c:pt idx="24">
                  <c:v>1.7795217761436978E-2</c:v>
                </c:pt>
                <c:pt idx="25">
                  <c:v>1.1184847321807152E-2</c:v>
                </c:pt>
                <c:pt idx="26">
                  <c:v>6.5349669745389874E-3</c:v>
                </c:pt>
                <c:pt idx="27">
                  <c:v>2.4129108829067055E-3</c:v>
                </c:pt>
                <c:pt idx="28">
                  <c:v>1.055648511271686E-3</c:v>
                </c:pt>
                <c:pt idx="29">
                  <c:v>3.0161386036333895E-4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A-402B-8C0E-C7966A74D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10831680"/>
        <c:axId val="510832096"/>
      </c:barChart>
      <c:catAx>
        <c:axId val="50633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/>
                  <a:t>Temperaturkategorie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506330256"/>
        <c:crosses val="autoZero"/>
        <c:auto val="1"/>
        <c:lblAlgn val="ctr"/>
        <c:lblOffset val="100"/>
        <c:noMultiLvlLbl val="0"/>
      </c:catAx>
      <c:valAx>
        <c:axId val="5063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/>
                  <a:t>Anzahl Tage in Kategorie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506331920"/>
        <c:crosses val="autoZero"/>
        <c:crossBetween val="between"/>
      </c:valAx>
      <c:valAx>
        <c:axId val="510832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/>
                  <a:t>Anteil der Tage in der Kategorie am jährlichen Energieverbrauch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510831680"/>
        <c:crosses val="max"/>
        <c:crossBetween val="between"/>
      </c:valAx>
      <c:catAx>
        <c:axId val="51083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832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865909</xdr:colOff>
      <xdr:row>28</xdr:row>
      <xdr:rowOff>155864</xdr:rowOff>
    </xdr:from>
    <xdr:to>
      <xdr:col>8</xdr:col>
      <xdr:colOff>1126921</xdr:colOff>
      <xdr:row>51</xdr:row>
      <xdr:rowOff>169589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6A3074E-C7B9-4D87-819A-741100E4E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2234044</xdr:colOff>
      <xdr:row>37</xdr:row>
      <xdr:rowOff>86591</xdr:rowOff>
    </xdr:from>
    <xdr:to>
      <xdr:col>16</xdr:col>
      <xdr:colOff>277091</xdr:colOff>
      <xdr:row>63</xdr:row>
      <xdr:rowOff>173183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19597A6-9A9D-E102-7931-2A28705BB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296513</xdr:colOff>
      <xdr:row>25</xdr:row>
      <xdr:rowOff>110032</xdr:rowOff>
    </xdr:from>
    <xdr:to>
      <xdr:col>17</xdr:col>
      <xdr:colOff>897084</xdr:colOff>
      <xdr:row>52</xdr:row>
      <xdr:rowOff>6124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F739429-86B2-479E-A703-79427405E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1039093</xdr:colOff>
      <xdr:row>26</xdr:row>
      <xdr:rowOff>173183</xdr:rowOff>
    </xdr:from>
    <xdr:to>
      <xdr:col>30</xdr:col>
      <xdr:colOff>744682</xdr:colOff>
      <xdr:row>58</xdr:row>
      <xdr:rowOff>86591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2984E5B-3A2F-4E5A-82CC-AA452EA53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549852</xdr:colOff>
      <xdr:row>26</xdr:row>
      <xdr:rowOff>154562</xdr:rowOff>
    </xdr:from>
    <xdr:to>
      <xdr:col>10</xdr:col>
      <xdr:colOff>1267691</xdr:colOff>
      <xdr:row>42</xdr:row>
      <xdr:rowOff>130751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A7B60F6-E505-A2B5-59D1-397B73371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1024026</xdr:colOff>
      <xdr:row>28</xdr:row>
      <xdr:rowOff>119944</xdr:rowOff>
    </xdr:from>
    <xdr:to>
      <xdr:col>42</xdr:col>
      <xdr:colOff>211312</xdr:colOff>
      <xdr:row>49</xdr:row>
      <xdr:rowOff>133669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32598F8-A8D1-4913-2F89-CE2DA7F0F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914400</xdr:colOff>
      <xdr:row>28</xdr:row>
      <xdr:rowOff>76200</xdr:rowOff>
    </xdr:from>
    <xdr:to>
      <xdr:col>34</xdr:col>
      <xdr:colOff>101686</xdr:colOff>
      <xdr:row>49</xdr:row>
      <xdr:rowOff>89925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6CC046-FC71-4167-BD2C-5EE4C67A8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stadt.winterthur.ch/gemeinde/verwaltung/stadtkanzlei/kommunikation-stadt-winterthur/medienmitteilungen-stadt-winterthur/neue-tarifordnung-und-hoehere-strompreise/download/beilage-preisuebersicht-strom-2023/download" TargetMode="External"/><Relationship Id="rId1" Type="http://schemas.openxmlformats.org/officeDocument/2006/relationships/hyperlink" Target="https://www.hev-schweiz.ch/vermieten/statistiken/energiepreise/" TargetMode="External"/><Relationship Id="rId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127B-E35C-4864-BD44-B914D1B24AEF}">
  <dimension ref="A1:BC23"/>
  <sheetViews>
    <sheetView topLeftCell="B1" zoomScaleNormal="100" workbookViewId="0">
      <selection activeCell="B15" sqref="B15"/>
    </sheetView>
  </sheetViews>
  <sheetFormatPr baseColWidth="10" defaultColWidth="9.140625" defaultRowHeight="15" x14ac:dyDescent="0.25"/>
  <cols>
    <col min="1" max="1" width="34.42578125" customWidth="1"/>
    <col min="2" max="2" width="12.28515625" customWidth="1"/>
    <col min="3" max="3" width="17.85546875" customWidth="1"/>
    <col min="4" max="4" width="13.7109375" customWidth="1"/>
    <col min="5" max="5" width="46.42578125" customWidth="1"/>
    <col min="6" max="6" width="11.7109375" customWidth="1"/>
    <col min="7" max="7" width="13.7109375" customWidth="1"/>
    <col min="9" max="9" width="53.42578125" customWidth="1"/>
    <col min="10" max="10" width="13.42578125" customWidth="1"/>
    <col min="11" max="11" width="21.140625" customWidth="1"/>
    <col min="13" max="55" width="15.7109375" customWidth="1"/>
  </cols>
  <sheetData>
    <row r="1" spans="1:55" ht="21" x14ac:dyDescent="0.35">
      <c r="A1" s="15" t="s">
        <v>39</v>
      </c>
      <c r="B1" s="15" t="s">
        <v>42</v>
      </c>
      <c r="C1" s="15" t="s">
        <v>34</v>
      </c>
      <c r="D1" s="15"/>
      <c r="E1" s="15" t="s">
        <v>58</v>
      </c>
      <c r="F1" s="15" t="s">
        <v>42</v>
      </c>
      <c r="G1" s="15" t="s">
        <v>34</v>
      </c>
      <c r="H1" s="15"/>
      <c r="I1" s="15" t="s">
        <v>33</v>
      </c>
      <c r="J1" s="15" t="s">
        <v>34</v>
      </c>
      <c r="K1" s="15" t="s">
        <v>35</v>
      </c>
    </row>
    <row r="2" spans="1:55" x14ac:dyDescent="0.25">
      <c r="A2" s="16" t="s">
        <v>41</v>
      </c>
      <c r="B2" s="13">
        <v>242.25</v>
      </c>
      <c r="C2" t="s">
        <v>44</v>
      </c>
      <c r="F2" s="18"/>
      <c r="I2" s="16" t="s">
        <v>36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13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t="s">
        <v>31</v>
      </c>
      <c r="AS2" t="s">
        <v>32</v>
      </c>
    </row>
    <row r="3" spans="1:55" x14ac:dyDescent="0.25">
      <c r="A3" s="16" t="s">
        <v>57</v>
      </c>
      <c r="B3" s="13">
        <v>5.34</v>
      </c>
      <c r="C3" t="s">
        <v>43</v>
      </c>
      <c r="F3" s="18"/>
      <c r="I3" s="16" t="s">
        <v>37</v>
      </c>
      <c r="J3" t="s">
        <v>45</v>
      </c>
      <c r="K3" s="3">
        <f>SUM(M3:BC3)</f>
        <v>0.99999999999999911</v>
      </c>
      <c r="M3" s="2">
        <v>0</v>
      </c>
      <c r="N3" s="2">
        <v>0</v>
      </c>
      <c r="O3" s="2">
        <v>4.11522633744856E-3</v>
      </c>
      <c r="P3" s="2">
        <v>4.11522633744856E-3</v>
      </c>
      <c r="Q3" s="2">
        <v>4.11522633744856E-3</v>
      </c>
      <c r="R3" s="2">
        <v>1.23456790123456E-2</v>
      </c>
      <c r="S3" s="2">
        <v>2.4691358024691301E-2</v>
      </c>
      <c r="T3" s="2">
        <v>4.9382716049382699E-2</v>
      </c>
      <c r="U3" s="2">
        <v>3.2921810699588397E-2</v>
      </c>
      <c r="V3" s="2">
        <v>4.5267489711934103E-2</v>
      </c>
      <c r="W3" s="2">
        <v>8.2304526748971193E-2</v>
      </c>
      <c r="X3" s="2">
        <v>6.5843621399176905E-2</v>
      </c>
      <c r="Y3" s="2">
        <v>8.6419753086419707E-2</v>
      </c>
      <c r="Z3" s="2">
        <v>4.5267489711934103E-2</v>
      </c>
      <c r="AA3" s="2">
        <v>6.9958847736625501E-2</v>
      </c>
      <c r="AB3" s="2">
        <v>4.5267489711934103E-2</v>
      </c>
      <c r="AC3" s="2">
        <v>2.8806584362139901E-2</v>
      </c>
      <c r="AD3" s="2">
        <v>2.0576131687242798E-2</v>
      </c>
      <c r="AE3" s="2">
        <v>3.7037037037037E-2</v>
      </c>
      <c r="AF3" s="2">
        <v>1.6460905349794198E-2</v>
      </c>
      <c r="AG3" s="2">
        <v>3.7037037037037E-2</v>
      </c>
      <c r="AH3" s="2">
        <v>5.7613168724279802E-2</v>
      </c>
      <c r="AI3" s="2">
        <v>4.9382716049382699E-2</v>
      </c>
      <c r="AJ3" s="2">
        <v>5.3497942386831199E-2</v>
      </c>
      <c r="AK3" s="2">
        <v>4.9382716049382699E-2</v>
      </c>
      <c r="AL3" s="2">
        <v>2.0576131687242798E-2</v>
      </c>
      <c r="AM3" s="2">
        <v>2.8806584362139901E-2</v>
      </c>
      <c r="AN3" s="2">
        <v>8.23045267489712E-3</v>
      </c>
      <c r="AO3" s="2">
        <v>2.0576131687242798E-2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</row>
    <row r="4" spans="1:55" x14ac:dyDescent="0.25">
      <c r="A4" s="16" t="s">
        <v>49</v>
      </c>
      <c r="B4" s="13">
        <v>230000</v>
      </c>
      <c r="C4" t="s">
        <v>51</v>
      </c>
      <c r="F4" s="18"/>
      <c r="I4" s="16" t="s">
        <v>38</v>
      </c>
      <c r="J4" t="s">
        <v>44</v>
      </c>
      <c r="K4">
        <f>SUM(M4:BC4)</f>
        <v>242.24999999999972</v>
      </c>
      <c r="M4">
        <f t="shared" ref="M4:AS4" si="0">M3*$B$2</f>
        <v>0</v>
      </c>
      <c r="N4">
        <f t="shared" si="0"/>
        <v>0</v>
      </c>
      <c r="O4">
        <f t="shared" si="0"/>
        <v>0.99691358024691368</v>
      </c>
      <c r="P4">
        <f t="shared" si="0"/>
        <v>0.99691358024691368</v>
      </c>
      <c r="Q4">
        <f t="shared" si="0"/>
        <v>0.99691358024691368</v>
      </c>
      <c r="R4">
        <f t="shared" si="0"/>
        <v>2.9907407407407218</v>
      </c>
      <c r="S4">
        <f t="shared" si="0"/>
        <v>5.9814814814814676</v>
      </c>
      <c r="T4">
        <f t="shared" si="0"/>
        <v>11.962962962962958</v>
      </c>
      <c r="U4">
        <f t="shared" si="0"/>
        <v>7.975308641975289</v>
      </c>
      <c r="V4">
        <f t="shared" si="0"/>
        <v>10.966049382716037</v>
      </c>
      <c r="W4">
        <f t="shared" si="0"/>
        <v>19.938271604938272</v>
      </c>
      <c r="X4">
        <f t="shared" si="0"/>
        <v>15.950617283950605</v>
      </c>
      <c r="Y4">
        <f t="shared" si="0"/>
        <v>20.935185185185173</v>
      </c>
      <c r="Z4">
        <f t="shared" si="0"/>
        <v>10.966049382716037</v>
      </c>
      <c r="AA4">
        <f t="shared" si="0"/>
        <v>16.947530864197528</v>
      </c>
      <c r="AB4">
        <f t="shared" si="0"/>
        <v>10.966049382716037</v>
      </c>
      <c r="AC4">
        <f t="shared" si="0"/>
        <v>6.9783950617283912</v>
      </c>
      <c r="AD4">
        <f t="shared" si="0"/>
        <v>4.9845679012345681</v>
      </c>
      <c r="AE4">
        <f t="shared" si="0"/>
        <v>8.9722222222222126</v>
      </c>
      <c r="AF4">
        <f t="shared" si="0"/>
        <v>3.9876543209876445</v>
      </c>
      <c r="AG4">
        <f t="shared" si="0"/>
        <v>8.9722222222222126</v>
      </c>
      <c r="AH4">
        <f t="shared" si="0"/>
        <v>13.956790123456782</v>
      </c>
      <c r="AI4">
        <f t="shared" si="0"/>
        <v>11.962962962962958</v>
      </c>
      <c r="AJ4">
        <f t="shared" si="0"/>
        <v>12.959876543209857</v>
      </c>
      <c r="AK4">
        <f t="shared" si="0"/>
        <v>11.962962962962958</v>
      </c>
      <c r="AL4">
        <f t="shared" si="0"/>
        <v>4.9845679012345681</v>
      </c>
      <c r="AM4">
        <f t="shared" si="0"/>
        <v>6.9783950617283912</v>
      </c>
      <c r="AN4">
        <f t="shared" si="0"/>
        <v>1.9938271604938274</v>
      </c>
      <c r="AO4">
        <f t="shared" si="0"/>
        <v>4.9845679012345681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</row>
    <row r="5" spans="1:55" ht="53.25" customHeight="1" x14ac:dyDescent="0.25">
      <c r="A5" s="16" t="s">
        <v>54</v>
      </c>
      <c r="B5" s="13">
        <v>20</v>
      </c>
      <c r="C5" t="s">
        <v>43</v>
      </c>
      <c r="E5" s="17" t="s">
        <v>59</v>
      </c>
      <c r="F5" s="19">
        <f>B4/B2/(20-B3)</f>
        <v>64.763465521198057</v>
      </c>
      <c r="G5" t="s">
        <v>60</v>
      </c>
      <c r="I5" s="17" t="s">
        <v>62</v>
      </c>
      <c r="J5" t="s">
        <v>43</v>
      </c>
      <c r="M5">
        <v>-10</v>
      </c>
      <c r="N5">
        <v>-9</v>
      </c>
      <c r="O5">
        <v>-8</v>
      </c>
      <c r="P5">
        <v>-7</v>
      </c>
      <c r="Q5">
        <v>-6</v>
      </c>
      <c r="R5">
        <v>-5</v>
      </c>
      <c r="S5">
        <v>-4</v>
      </c>
      <c r="T5">
        <v>-3</v>
      </c>
      <c r="U5">
        <v>-2</v>
      </c>
      <c r="V5">
        <v>-1</v>
      </c>
      <c r="W5">
        <v>0</v>
      </c>
      <c r="X5">
        <v>1</v>
      </c>
      <c r="Y5">
        <v>2</v>
      </c>
      <c r="Z5">
        <v>3</v>
      </c>
      <c r="AA5">
        <v>4</v>
      </c>
      <c r="AB5">
        <v>5</v>
      </c>
      <c r="AC5">
        <v>6</v>
      </c>
      <c r="AD5">
        <v>7</v>
      </c>
      <c r="AE5">
        <v>8</v>
      </c>
      <c r="AF5">
        <v>9</v>
      </c>
      <c r="AG5">
        <v>10</v>
      </c>
      <c r="AH5">
        <v>11</v>
      </c>
      <c r="AI5">
        <v>12</v>
      </c>
      <c r="AJ5">
        <v>13</v>
      </c>
      <c r="AK5">
        <v>14</v>
      </c>
      <c r="AL5">
        <v>15</v>
      </c>
      <c r="AM5">
        <v>16</v>
      </c>
      <c r="AN5">
        <v>17</v>
      </c>
      <c r="AO5">
        <v>18</v>
      </c>
      <c r="AP5">
        <v>19</v>
      </c>
      <c r="AQ5">
        <v>19.998999999999999</v>
      </c>
      <c r="AR5">
        <v>19.998999999999999</v>
      </c>
      <c r="AS5">
        <v>19.998999999999999</v>
      </c>
    </row>
    <row r="6" spans="1:55" ht="30" x14ac:dyDescent="0.25">
      <c r="A6" s="17" t="s">
        <v>55</v>
      </c>
      <c r="B6" s="13">
        <f>B5</f>
        <v>20</v>
      </c>
      <c r="C6" t="s">
        <v>43</v>
      </c>
      <c r="E6" s="16"/>
      <c r="F6" s="18"/>
      <c r="I6" s="16" t="s">
        <v>40</v>
      </c>
      <c r="J6" t="s">
        <v>53</v>
      </c>
      <c r="M6">
        <f>M5+273.15</f>
        <v>263.14999999999998</v>
      </c>
      <c r="N6">
        <f t="shared" ref="N6:AS6" si="1">N5+273.15</f>
        <v>264.14999999999998</v>
      </c>
      <c r="O6">
        <f t="shared" si="1"/>
        <v>265.14999999999998</v>
      </c>
      <c r="P6">
        <f t="shared" si="1"/>
        <v>266.14999999999998</v>
      </c>
      <c r="Q6">
        <f t="shared" si="1"/>
        <v>267.14999999999998</v>
      </c>
      <c r="R6">
        <f t="shared" si="1"/>
        <v>268.14999999999998</v>
      </c>
      <c r="S6">
        <f t="shared" si="1"/>
        <v>269.14999999999998</v>
      </c>
      <c r="T6">
        <f t="shared" si="1"/>
        <v>270.14999999999998</v>
      </c>
      <c r="U6">
        <f t="shared" si="1"/>
        <v>271.14999999999998</v>
      </c>
      <c r="V6">
        <f t="shared" si="1"/>
        <v>272.14999999999998</v>
      </c>
      <c r="W6">
        <f t="shared" si="1"/>
        <v>273.14999999999998</v>
      </c>
      <c r="X6">
        <f t="shared" si="1"/>
        <v>274.14999999999998</v>
      </c>
      <c r="Y6">
        <f t="shared" si="1"/>
        <v>275.14999999999998</v>
      </c>
      <c r="Z6">
        <f t="shared" si="1"/>
        <v>276.14999999999998</v>
      </c>
      <c r="AA6">
        <f t="shared" si="1"/>
        <v>277.14999999999998</v>
      </c>
      <c r="AB6">
        <f t="shared" si="1"/>
        <v>278.14999999999998</v>
      </c>
      <c r="AC6">
        <f t="shared" si="1"/>
        <v>279.14999999999998</v>
      </c>
      <c r="AD6">
        <f t="shared" si="1"/>
        <v>280.14999999999998</v>
      </c>
      <c r="AE6">
        <f t="shared" si="1"/>
        <v>281.14999999999998</v>
      </c>
      <c r="AF6">
        <f t="shared" si="1"/>
        <v>282.14999999999998</v>
      </c>
      <c r="AG6">
        <f t="shared" si="1"/>
        <v>283.14999999999998</v>
      </c>
      <c r="AH6">
        <f t="shared" si="1"/>
        <v>284.14999999999998</v>
      </c>
      <c r="AI6">
        <f t="shared" si="1"/>
        <v>285.14999999999998</v>
      </c>
      <c r="AJ6">
        <f t="shared" si="1"/>
        <v>286.14999999999998</v>
      </c>
      <c r="AK6">
        <f t="shared" si="1"/>
        <v>287.14999999999998</v>
      </c>
      <c r="AL6">
        <f t="shared" si="1"/>
        <v>288.14999999999998</v>
      </c>
      <c r="AM6">
        <f t="shared" si="1"/>
        <v>289.14999999999998</v>
      </c>
      <c r="AN6">
        <f t="shared" si="1"/>
        <v>290.14999999999998</v>
      </c>
      <c r="AO6">
        <f t="shared" si="1"/>
        <v>291.14999999999998</v>
      </c>
      <c r="AP6">
        <f t="shared" si="1"/>
        <v>292.14999999999998</v>
      </c>
      <c r="AQ6">
        <f t="shared" si="1"/>
        <v>293.149</v>
      </c>
      <c r="AR6">
        <f t="shared" si="1"/>
        <v>293.149</v>
      </c>
      <c r="AS6">
        <f t="shared" si="1"/>
        <v>293.149</v>
      </c>
    </row>
    <row r="7" spans="1:55" x14ac:dyDescent="0.25">
      <c r="A7" s="16" t="s">
        <v>56</v>
      </c>
      <c r="B7" s="13">
        <v>1.65</v>
      </c>
      <c r="E7" s="16"/>
      <c r="F7" s="18"/>
      <c r="I7" s="16"/>
    </row>
    <row r="8" spans="1:55" x14ac:dyDescent="0.25">
      <c r="A8" s="16"/>
      <c r="B8" s="13"/>
      <c r="E8" s="16"/>
      <c r="F8" s="18"/>
      <c r="I8" s="16" t="s">
        <v>47</v>
      </c>
      <c r="J8" t="s">
        <v>48</v>
      </c>
      <c r="M8">
        <f>(20-M5)*$F$5</f>
        <v>1942.9039656359416</v>
      </c>
      <c r="N8">
        <f t="shared" ref="N8:AS8" si="2">(20-N5)*$F$5</f>
        <v>1878.1405001147436</v>
      </c>
      <c r="O8">
        <f t="shared" si="2"/>
        <v>1813.3770345935457</v>
      </c>
      <c r="P8">
        <f t="shared" si="2"/>
        <v>1748.6135690723474</v>
      </c>
      <c r="Q8">
        <f t="shared" si="2"/>
        <v>1683.8501035511495</v>
      </c>
      <c r="R8">
        <f t="shared" si="2"/>
        <v>1619.0866380299515</v>
      </c>
      <c r="S8">
        <f t="shared" si="2"/>
        <v>1554.3231725087535</v>
      </c>
      <c r="T8">
        <f t="shared" si="2"/>
        <v>1489.5597069875553</v>
      </c>
      <c r="U8">
        <f t="shared" si="2"/>
        <v>1424.7962414663573</v>
      </c>
      <c r="V8">
        <f t="shared" si="2"/>
        <v>1360.0327759451593</v>
      </c>
      <c r="W8">
        <f t="shared" si="2"/>
        <v>1295.2693104239611</v>
      </c>
      <c r="X8">
        <f t="shared" si="2"/>
        <v>1230.5058449027631</v>
      </c>
      <c r="Y8">
        <f t="shared" si="2"/>
        <v>1165.7423793815651</v>
      </c>
      <c r="Z8">
        <f t="shared" si="2"/>
        <v>1100.9789138603669</v>
      </c>
      <c r="AA8">
        <f t="shared" si="2"/>
        <v>1036.2154483391689</v>
      </c>
      <c r="AB8">
        <f t="shared" si="2"/>
        <v>971.45198281797082</v>
      </c>
      <c r="AC8">
        <f t="shared" si="2"/>
        <v>906.68851729677283</v>
      </c>
      <c r="AD8">
        <f t="shared" si="2"/>
        <v>841.92505177557473</v>
      </c>
      <c r="AE8">
        <f t="shared" si="2"/>
        <v>777.16158625437674</v>
      </c>
      <c r="AF8">
        <f t="shared" si="2"/>
        <v>712.39812073317864</v>
      </c>
      <c r="AG8">
        <f t="shared" si="2"/>
        <v>647.63465521198054</v>
      </c>
      <c r="AH8">
        <f t="shared" si="2"/>
        <v>582.87118969078256</v>
      </c>
      <c r="AI8">
        <f t="shared" si="2"/>
        <v>518.10772416958446</v>
      </c>
      <c r="AJ8">
        <f t="shared" si="2"/>
        <v>453.34425864838641</v>
      </c>
      <c r="AK8">
        <f t="shared" si="2"/>
        <v>388.58079312718837</v>
      </c>
      <c r="AL8">
        <f t="shared" si="2"/>
        <v>323.81732760599027</v>
      </c>
      <c r="AM8">
        <f t="shared" si="2"/>
        <v>259.05386208479223</v>
      </c>
      <c r="AN8">
        <f t="shared" si="2"/>
        <v>194.29039656359419</v>
      </c>
      <c r="AO8">
        <f t="shared" si="2"/>
        <v>129.52693104239611</v>
      </c>
      <c r="AP8">
        <f t="shared" si="2"/>
        <v>64.763465521198057</v>
      </c>
      <c r="AQ8">
        <f t="shared" si="2"/>
        <v>6.4763465521277208E-2</v>
      </c>
      <c r="AR8">
        <f t="shared" si="2"/>
        <v>6.4763465521277208E-2</v>
      </c>
      <c r="AS8">
        <f t="shared" si="2"/>
        <v>6.4763465521277208E-2</v>
      </c>
    </row>
    <row r="9" spans="1:55" ht="30" customHeight="1" x14ac:dyDescent="0.25">
      <c r="A9" s="16"/>
      <c r="B9" s="13"/>
      <c r="E9" s="16"/>
      <c r="F9" s="18"/>
      <c r="I9" s="17" t="s">
        <v>61</v>
      </c>
      <c r="J9" t="s">
        <v>50</v>
      </c>
      <c r="K9">
        <f t="shared" ref="K9" si="3">SUM(M9:BC9)</f>
        <v>229071.57574430559</v>
      </c>
      <c r="M9">
        <f>M8*M4</f>
        <v>0</v>
      </c>
      <c r="N9">
        <f t="shared" ref="N9:AS9" si="4">N8*N4</f>
        <v>0</v>
      </c>
      <c r="O9">
        <f t="shared" si="4"/>
        <v>1807.780191894183</v>
      </c>
      <c r="P9">
        <f t="shared" si="4"/>
        <v>1743.2166136122478</v>
      </c>
      <c r="Q9">
        <f t="shared" si="4"/>
        <v>1678.6530353303128</v>
      </c>
      <c r="R9">
        <f t="shared" si="4"/>
        <v>4842.2683711451018</v>
      </c>
      <c r="S9">
        <f t="shared" si="4"/>
        <v>9297.155272598633</v>
      </c>
      <c r="T9">
        <f t="shared" si="4"/>
        <v>17819.547605814081</v>
      </c>
      <c r="U9">
        <f t="shared" si="4"/>
        <v>11363.18977762055</v>
      </c>
      <c r="V9">
        <f t="shared" si="4"/>
        <v>14914.186583126992</v>
      </c>
      <c r="W9">
        <f t="shared" si="4"/>
        <v>25825.431312774039</v>
      </c>
      <c r="X9">
        <f t="shared" si="4"/>
        <v>19627.327797708254</v>
      </c>
      <c r="Y9">
        <f t="shared" si="4"/>
        <v>24405.032590571456</v>
      </c>
      <c r="Z9">
        <f t="shared" si="4"/>
        <v>12073.389138721848</v>
      </c>
      <c r="AA9">
        <f t="shared" si="4"/>
        <v>17561.293292686343</v>
      </c>
      <c r="AB9">
        <f t="shared" si="4"/>
        <v>10652.990416519278</v>
      </c>
      <c r="AC9">
        <f t="shared" si="4"/>
        <v>6327.2306716296362</v>
      </c>
      <c r="AD9">
        <f t="shared" si="4"/>
        <v>4196.6325883257814</v>
      </c>
      <c r="AE9">
        <f t="shared" si="4"/>
        <v>6972.8664544489839</v>
      </c>
      <c r="AF9">
        <f t="shared" si="4"/>
        <v>2840.7974444051374</v>
      </c>
      <c r="AG9">
        <f t="shared" si="4"/>
        <v>5810.7220453741529</v>
      </c>
      <c r="AH9">
        <f t="shared" si="4"/>
        <v>8135.0108635238184</v>
      </c>
      <c r="AI9">
        <f t="shared" si="4"/>
        <v>6198.1035150657672</v>
      </c>
      <c r="AJ9">
        <f t="shared" si="4"/>
        <v>5875.2856236560856</v>
      </c>
      <c r="AK9">
        <f t="shared" si="4"/>
        <v>4648.5776362993256</v>
      </c>
      <c r="AL9">
        <f t="shared" si="4"/>
        <v>1614.0894570483774</v>
      </c>
      <c r="AM9">
        <f t="shared" si="4"/>
        <v>1807.7801918941818</v>
      </c>
      <c r="AN9">
        <f t="shared" si="4"/>
        <v>387.38146969161068</v>
      </c>
      <c r="AO9">
        <f t="shared" si="4"/>
        <v>645.63578281935099</v>
      </c>
      <c r="AP9">
        <f t="shared" si="4"/>
        <v>0</v>
      </c>
      <c r="AQ9">
        <f t="shared" si="4"/>
        <v>0</v>
      </c>
      <c r="AR9">
        <f t="shared" si="4"/>
        <v>0</v>
      </c>
      <c r="AS9">
        <f t="shared" si="4"/>
        <v>0</v>
      </c>
    </row>
    <row r="10" spans="1:55" x14ac:dyDescent="0.25">
      <c r="A10" s="16"/>
      <c r="B10" s="13"/>
      <c r="E10" s="16"/>
      <c r="F10" s="18"/>
      <c r="I10" s="16" t="s">
        <v>52</v>
      </c>
      <c r="J10" t="s">
        <v>43</v>
      </c>
      <c r="M10">
        <f>20+$B$7*2.125*(20-M5)^0.78</f>
        <v>69.773417082366706</v>
      </c>
      <c r="N10">
        <f t="shared" ref="N10:AS10" si="5">20+$B$7*2.125*(20-N5)^0.78</f>
        <v>68.47449763434517</v>
      </c>
      <c r="O10">
        <f t="shared" si="5"/>
        <v>67.165684657944126</v>
      </c>
      <c r="P10">
        <f t="shared" si="5"/>
        <v>65.846545198315411</v>
      </c>
      <c r="Q10">
        <f t="shared" si="5"/>
        <v>64.516610533756904</v>
      </c>
      <c r="R10">
        <f t="shared" si="5"/>
        <v>63.17537172338244</v>
      </c>
      <c r="S10">
        <f t="shared" si="5"/>
        <v>61.82227439904284</v>
      </c>
      <c r="T10">
        <f t="shared" si="5"/>
        <v>60.456712636124252</v>
      </c>
      <c r="U10">
        <f t="shared" si="5"/>
        <v>59.078021692830504</v>
      </c>
      <c r="V10">
        <f t="shared" si="5"/>
        <v>57.685469347653978</v>
      </c>
      <c r="W10">
        <f t="shared" si="5"/>
        <v>56.278245484087535</v>
      </c>
      <c r="X10">
        <f t="shared" si="5"/>
        <v>54.855449461619941</v>
      </c>
      <c r="Y10">
        <f t="shared" si="5"/>
        <v>53.416074659881765</v>
      </c>
      <c r="Z10">
        <f t="shared" si="5"/>
        <v>51.958989369017715</v>
      </c>
      <c r="AA10">
        <f t="shared" si="5"/>
        <v>50.482912893855925</v>
      </c>
      <c r="AB10">
        <f t="shared" si="5"/>
        <v>48.98638529456764</v>
      </c>
      <c r="AC10">
        <f t="shared" si="5"/>
        <v>47.467728524943752</v>
      </c>
      <c r="AD10">
        <f t="shared" si="5"/>
        <v>45.924995722201054</v>
      </c>
      <c r="AE10">
        <f t="shared" si="5"/>
        <v>44.355903827532515</v>
      </c>
      <c r="AF10">
        <f t="shared" si="5"/>
        <v>42.75774217919129</v>
      </c>
      <c r="AG10">
        <f t="shared" si="5"/>
        <v>41.127245486732178</v>
      </c>
      <c r="AH10">
        <f t="shared" si="5"/>
        <v>39.460412242150895</v>
      </c>
      <c r="AI10">
        <f t="shared" si="5"/>
        <v>37.752236230433169</v>
      </c>
      <c r="AJ10">
        <f t="shared" si="5"/>
        <v>35.996292978499824</v>
      </c>
      <c r="AK10">
        <f t="shared" si="5"/>
        <v>34.184069608361369</v>
      </c>
      <c r="AL10">
        <f t="shared" si="5"/>
        <v>32.303806203980528</v>
      </c>
      <c r="AM10">
        <f t="shared" si="5"/>
        <v>30.338312886253846</v>
      </c>
      <c r="AN10">
        <f t="shared" si="5"/>
        <v>28.260331132832484</v>
      </c>
      <c r="AO10">
        <f t="shared" si="5"/>
        <v>26.020690123019747</v>
      </c>
      <c r="AP10">
        <f t="shared" si="5"/>
        <v>23.506250000000001</v>
      </c>
      <c r="AQ10">
        <f t="shared" si="5"/>
        <v>20.016026654648385</v>
      </c>
      <c r="AR10">
        <f t="shared" si="5"/>
        <v>20.016026654648385</v>
      </c>
      <c r="AS10">
        <f t="shared" si="5"/>
        <v>20.016026654648385</v>
      </c>
    </row>
    <row r="11" spans="1:55" x14ac:dyDescent="0.25">
      <c r="A11" s="16"/>
      <c r="B11" s="13"/>
      <c r="E11" s="16"/>
      <c r="F11" s="18"/>
      <c r="I11" s="16" t="s">
        <v>76</v>
      </c>
      <c r="J11" t="s">
        <v>53</v>
      </c>
      <c r="M11">
        <f>M10+273.15</f>
        <v>342.92341708236665</v>
      </c>
      <c r="N11">
        <f t="shared" ref="N11:AS11" si="6">N10+273.15</f>
        <v>341.62449763434518</v>
      </c>
      <c r="O11">
        <f t="shared" si="6"/>
        <v>340.31568465794408</v>
      </c>
      <c r="P11">
        <f t="shared" si="6"/>
        <v>338.9965451983154</v>
      </c>
      <c r="Q11">
        <f t="shared" si="6"/>
        <v>337.66661053375685</v>
      </c>
      <c r="R11">
        <f t="shared" si="6"/>
        <v>336.32537172338243</v>
      </c>
      <c r="S11">
        <f t="shared" si="6"/>
        <v>334.97227439904282</v>
      </c>
      <c r="T11">
        <f t="shared" si="6"/>
        <v>333.60671263612426</v>
      </c>
      <c r="U11">
        <f t="shared" si="6"/>
        <v>332.22802169283045</v>
      </c>
      <c r="V11">
        <f t="shared" si="6"/>
        <v>330.83546934765394</v>
      </c>
      <c r="W11">
        <f t="shared" si="6"/>
        <v>329.42824548408748</v>
      </c>
      <c r="X11">
        <f t="shared" si="6"/>
        <v>328.00544946161995</v>
      </c>
      <c r="Y11">
        <f t="shared" si="6"/>
        <v>326.56607465988174</v>
      </c>
      <c r="Z11">
        <f t="shared" si="6"/>
        <v>325.10898936901771</v>
      </c>
      <c r="AA11">
        <f t="shared" si="6"/>
        <v>323.63291289385592</v>
      </c>
      <c r="AB11">
        <f t="shared" si="6"/>
        <v>322.13638529456762</v>
      </c>
      <c r="AC11">
        <f t="shared" si="6"/>
        <v>320.61772852494374</v>
      </c>
      <c r="AD11">
        <f t="shared" si="6"/>
        <v>319.07499572220104</v>
      </c>
      <c r="AE11">
        <f t="shared" si="6"/>
        <v>317.50590382753251</v>
      </c>
      <c r="AF11">
        <f t="shared" si="6"/>
        <v>315.90774217919125</v>
      </c>
      <c r="AG11">
        <f t="shared" si="6"/>
        <v>314.27724548673217</v>
      </c>
      <c r="AH11">
        <f t="shared" si="6"/>
        <v>312.61041224215086</v>
      </c>
      <c r="AI11">
        <f t="shared" si="6"/>
        <v>310.90223623043312</v>
      </c>
      <c r="AJ11">
        <f t="shared" si="6"/>
        <v>309.14629297849979</v>
      </c>
      <c r="AK11">
        <f t="shared" si="6"/>
        <v>307.33406960836135</v>
      </c>
      <c r="AL11">
        <f t="shared" si="6"/>
        <v>305.45380620398049</v>
      </c>
      <c r="AM11">
        <f t="shared" si="6"/>
        <v>303.48831288625382</v>
      </c>
      <c r="AN11">
        <f t="shared" si="6"/>
        <v>301.41033113283248</v>
      </c>
      <c r="AO11">
        <f t="shared" si="6"/>
        <v>299.17069012301971</v>
      </c>
      <c r="AP11">
        <f t="shared" si="6"/>
        <v>296.65625</v>
      </c>
      <c r="AQ11">
        <f t="shared" si="6"/>
        <v>293.16602665464836</v>
      </c>
      <c r="AR11">
        <f t="shared" si="6"/>
        <v>293.16602665464836</v>
      </c>
      <c r="AS11">
        <f t="shared" si="6"/>
        <v>293.16602665464836</v>
      </c>
    </row>
    <row r="12" spans="1:55" x14ac:dyDescent="0.25">
      <c r="A12" s="16"/>
      <c r="B12" s="13"/>
      <c r="E12" s="16"/>
      <c r="F12" s="18"/>
      <c r="I12" s="16"/>
    </row>
    <row r="13" spans="1:55" ht="30" x14ac:dyDescent="0.25">
      <c r="A13" s="16" t="s">
        <v>73</v>
      </c>
      <c r="B13" s="13">
        <v>8</v>
      </c>
      <c r="C13" t="s">
        <v>43</v>
      </c>
      <c r="E13" s="17" t="s">
        <v>74</v>
      </c>
      <c r="F13" s="18">
        <f>B13+273.15</f>
        <v>281.14999999999998</v>
      </c>
      <c r="G13" t="s">
        <v>53</v>
      </c>
      <c r="I13" s="16" t="s">
        <v>46</v>
      </c>
      <c r="M13" s="6">
        <f>M$11/(M$11-$F$13)*$B$14</f>
        <v>2.8866814449500873</v>
      </c>
      <c r="N13" s="6">
        <f t="shared" ref="N13:AS13" si="7">N$11/(N$11-$F$13)*$B$14</f>
        <v>2.9375149148650386</v>
      </c>
      <c r="O13" s="6">
        <f t="shared" si="7"/>
        <v>2.9909931245656627</v>
      </c>
      <c r="P13" s="6">
        <f t="shared" si="7"/>
        <v>3.0473419440830751</v>
      </c>
      <c r="Q13" s="6">
        <f t="shared" si="7"/>
        <v>3.1068147190581645</v>
      </c>
      <c r="R13" s="6">
        <f t="shared" si="7"/>
        <v>3.1696966931723196</v>
      </c>
      <c r="S13" s="6">
        <f t="shared" si="7"/>
        <v>3.2363103312222705</v>
      </c>
      <c r="T13" s="6">
        <f t="shared" si="7"/>
        <v>3.3070217681029606</v>
      </c>
      <c r="U13" s="6">
        <f t="shared" si="7"/>
        <v>3.3822486767243172</v>
      </c>
      <c r="V13" s="6">
        <f t="shared" si="7"/>
        <v>3.4624699397934364</v>
      </c>
      <c r="W13" s="6">
        <f t="shared" si="7"/>
        <v>3.548237636518643</v>
      </c>
      <c r="X13" s="6">
        <f t="shared" si="7"/>
        <v>3.6401920305930062</v>
      </c>
      <c r="Y13" s="6">
        <f t="shared" si="7"/>
        <v>3.7390804928622297</v>
      </c>
      <c r="Z13" s="6">
        <f t="shared" si="7"/>
        <v>3.8457816455407472</v>
      </c>
      <c r="AA13" s="6">
        <f t="shared" si="7"/>
        <v>3.9613365290011409</v>
      </c>
      <c r="AB13" s="6">
        <f t="shared" si="7"/>
        <v>4.0869893538861835</v>
      </c>
      <c r="AC13" s="6">
        <f t="shared" si="7"/>
        <v>4.2242415528829396</v>
      </c>
      <c r="AD13" s="6">
        <f t="shared" si="7"/>
        <v>4.3749246273063278</v>
      </c>
      <c r="AE13" s="6">
        <f t="shared" si="7"/>
        <v>4.54130010832748</v>
      </c>
      <c r="AF13" s="6">
        <f t="shared" si="7"/>
        <v>4.7261995640075174</v>
      </c>
      <c r="AG13" s="6">
        <f t="shared" si="7"/>
        <v>4.9332253633509557</v>
      </c>
      <c r="AH13" s="6">
        <f t="shared" si="7"/>
        <v>5.1670465445498168</v>
      </c>
      <c r="AI13" s="6">
        <f t="shared" si="7"/>
        <v>5.4338491260853905</v>
      </c>
      <c r="AJ13" s="6">
        <f t="shared" si="7"/>
        <v>5.7420485087891828</v>
      </c>
      <c r="AK13" s="6">
        <f t="shared" si="7"/>
        <v>6.1034712551067507</v>
      </c>
      <c r="AL13" s="6">
        <f t="shared" si="7"/>
        <v>6.5354363795106076</v>
      </c>
      <c r="AM13" s="6">
        <f t="shared" si="7"/>
        <v>7.0647198606464467</v>
      </c>
      <c r="AN13" s="6">
        <f t="shared" si="7"/>
        <v>7.7359728802794114</v>
      </c>
      <c r="AO13" s="6">
        <f t="shared" si="7"/>
        <v>8.632785859030216</v>
      </c>
      <c r="AP13" s="6">
        <f t="shared" si="7"/>
        <v>9.9483272873841049</v>
      </c>
      <c r="AQ13" s="6">
        <f t="shared" si="7"/>
        <v>12.686917085145071</v>
      </c>
      <c r="AR13" s="6">
        <f t="shared" si="7"/>
        <v>12.686917085145071</v>
      </c>
      <c r="AS13" s="6">
        <f t="shared" si="7"/>
        <v>12.686917085145071</v>
      </c>
    </row>
    <row r="14" spans="1:55" x14ac:dyDescent="0.25">
      <c r="A14" s="16" t="s">
        <v>75</v>
      </c>
      <c r="B14" s="14">
        <v>0.52</v>
      </c>
      <c r="C14" t="s">
        <v>45</v>
      </c>
      <c r="E14" s="16" t="s">
        <v>79</v>
      </c>
      <c r="F14" s="20">
        <f>K9/K15</f>
        <v>3.8533051204457891</v>
      </c>
      <c r="I14" s="16" t="s">
        <v>77</v>
      </c>
      <c r="J14" t="s">
        <v>50</v>
      </c>
      <c r="M14">
        <f>M8/M13</f>
        <v>673.05797424749642</v>
      </c>
      <c r="N14">
        <f t="shared" ref="N14:AS14" si="8">N8/N13</f>
        <v>639.36373245649816</v>
      </c>
      <c r="O14">
        <f t="shared" si="8"/>
        <v>606.27923872505573</v>
      </c>
      <c r="P14">
        <f t="shared" si="8"/>
        <v>573.81600134096323</v>
      </c>
      <c r="Q14">
        <f t="shared" si="8"/>
        <v>541.98600683262214</v>
      </c>
      <c r="R14">
        <f t="shared" si="8"/>
        <v>510.80175636916385</v>
      </c>
      <c r="S14">
        <f t="shared" si="8"/>
        <v>480.27630648193303</v>
      </c>
      <c r="T14">
        <f t="shared" si="8"/>
        <v>450.42331482505665</v>
      </c>
      <c r="U14">
        <f t="shared" si="8"/>
        <v>421.25709184880571</v>
      </c>
      <c r="V14">
        <f t="shared" si="8"/>
        <v>392.79265945809078</v>
      </c>
      <c r="W14">
        <f t="shared" si="8"/>
        <v>365.04581798383037</v>
      </c>
      <c r="X14">
        <f t="shared" si="8"/>
        <v>338.03322312705228</v>
      </c>
      <c r="Y14">
        <f t="shared" si="8"/>
        <v>311.7724749726371</v>
      </c>
      <c r="Z14">
        <f t="shared" si="8"/>
        <v>286.28222175249385</v>
      </c>
      <c r="AA14">
        <f t="shared" si="8"/>
        <v>261.58228182659673</v>
      </c>
      <c r="AB14">
        <f t="shared" si="8"/>
        <v>237.69378843481672</v>
      </c>
      <c r="AC14">
        <f t="shared" si="8"/>
        <v>214.63936329066706</v>
      </c>
      <c r="AD14">
        <f t="shared" si="8"/>
        <v>192.44332725657813</v>
      </c>
      <c r="AE14">
        <f t="shared" si="8"/>
        <v>171.13195950852901</v>
      </c>
      <c r="AF14">
        <f t="shared" si="8"/>
        <v>150.73382134738091</v>
      </c>
      <c r="AG14">
        <f t="shared" si="8"/>
        <v>131.28016814785582</v>
      </c>
      <c r="AH14">
        <f t="shared" si="8"/>
        <v>112.80548465459307</v>
      </c>
      <c r="AI14">
        <f t="shared" si="8"/>
        <v>95.348198330054743</v>
      </c>
      <c r="AJ14">
        <f t="shared" si="8"/>
        <v>78.951659491288837</v>
      </c>
      <c r="AK14">
        <f t="shared" si="8"/>
        <v>63.665539966631997</v>
      </c>
      <c r="AL14">
        <f t="shared" si="8"/>
        <v>49.547927453046164</v>
      </c>
      <c r="AM14">
        <f t="shared" si="8"/>
        <v>36.668667292504345</v>
      </c>
      <c r="AN14">
        <f t="shared" si="8"/>
        <v>25.115185842866698</v>
      </c>
      <c r="AO14">
        <f t="shared" si="8"/>
        <v>15.004070894091056</v>
      </c>
      <c r="AP14">
        <f t="shared" si="8"/>
        <v>6.5099854126559897</v>
      </c>
      <c r="AQ14">
        <f t="shared" si="8"/>
        <v>5.1047441302432585E-3</v>
      </c>
      <c r="AR14">
        <f t="shared" si="8"/>
        <v>5.1047441302432585E-3</v>
      </c>
      <c r="AS14">
        <f t="shared" si="8"/>
        <v>5.1047441302432585E-3</v>
      </c>
    </row>
    <row r="15" spans="1:55" ht="30" customHeight="1" x14ac:dyDescent="0.25">
      <c r="A15" s="16"/>
      <c r="B15" s="14"/>
      <c r="E15" s="17" t="s">
        <v>80</v>
      </c>
      <c r="F15" s="20">
        <f>K15</f>
        <v>59448.076024097536</v>
      </c>
      <c r="G15" t="s">
        <v>50</v>
      </c>
      <c r="I15" s="17" t="s">
        <v>78</v>
      </c>
      <c r="J15" t="s">
        <v>50</v>
      </c>
      <c r="K15">
        <f>SUM(M15:AS15)</f>
        <v>59448.076024097536</v>
      </c>
      <c r="M15">
        <f>M14*M4</f>
        <v>0</v>
      </c>
      <c r="N15">
        <f t="shared" ref="N15:AS15" si="9">N14*N4</f>
        <v>0</v>
      </c>
      <c r="O15">
        <f t="shared" si="9"/>
        <v>604.40800650676863</v>
      </c>
      <c r="P15">
        <f t="shared" si="9"/>
        <v>572.04496429978747</v>
      </c>
      <c r="Q15">
        <f t="shared" si="9"/>
        <v>540.31321051523753</v>
      </c>
      <c r="R15">
        <f t="shared" si="9"/>
        <v>1527.6756232151749</v>
      </c>
      <c r="S15">
        <f t="shared" si="9"/>
        <v>2872.7638332160004</v>
      </c>
      <c r="T15">
        <f t="shared" si="9"/>
        <v>5388.3974329071571</v>
      </c>
      <c r="U15">
        <f t="shared" si="9"/>
        <v>3359.6553251151581</v>
      </c>
      <c r="V15">
        <f t="shared" si="9"/>
        <v>4307.3837007857865</v>
      </c>
      <c r="W15">
        <f t="shared" si="9"/>
        <v>7278.3826672084697</v>
      </c>
      <c r="X15">
        <f t="shared" si="9"/>
        <v>5391.8385713598909</v>
      </c>
      <c r="Y15">
        <f t="shared" si="9"/>
        <v>6527.0144991956677</v>
      </c>
      <c r="Z15">
        <f t="shared" si="9"/>
        <v>3139.3849811315108</v>
      </c>
      <c r="AA15">
        <f t="shared" si="9"/>
        <v>4433.1737947834645</v>
      </c>
      <c r="AB15">
        <f t="shared" si="9"/>
        <v>2606.561821941058</v>
      </c>
      <c r="AC15">
        <f t="shared" si="9"/>
        <v>1497.8382728401173</v>
      </c>
      <c r="AD15">
        <f t="shared" si="9"/>
        <v>959.24683184991875</v>
      </c>
      <c r="AE15">
        <f t="shared" si="9"/>
        <v>1535.4339700348557</v>
      </c>
      <c r="AF15">
        <f t="shared" si="9"/>
        <v>601.07437401486311</v>
      </c>
      <c r="AG15">
        <f t="shared" si="9"/>
        <v>1177.8748419932606</v>
      </c>
      <c r="AH15">
        <f t="shared" si="9"/>
        <v>1574.4024740989803</v>
      </c>
      <c r="AI15">
        <f t="shared" si="9"/>
        <v>1140.6469652076914</v>
      </c>
      <c r="AJ15">
        <f t="shared" si="9"/>
        <v>1023.2037598886461</v>
      </c>
      <c r="AK15">
        <f t="shared" si="9"/>
        <v>761.62849663785653</v>
      </c>
      <c r="AL15">
        <f t="shared" si="9"/>
        <v>246.97500875515294</v>
      </c>
      <c r="AM15">
        <f t="shared" si="9"/>
        <v>255.88844675417371</v>
      </c>
      <c r="AN15">
        <f t="shared" si="9"/>
        <v>50.075339674357679</v>
      </c>
      <c r="AO15">
        <f t="shared" si="9"/>
        <v>74.78881016653412</v>
      </c>
      <c r="AP15">
        <f>AP14*AP4</f>
        <v>0</v>
      </c>
      <c r="AQ15">
        <f t="shared" si="9"/>
        <v>0</v>
      </c>
      <c r="AR15">
        <f>AR14*AR4</f>
        <v>0</v>
      </c>
      <c r="AS15">
        <f t="shared" si="9"/>
        <v>0</v>
      </c>
    </row>
    <row r="16" spans="1:55" ht="30" customHeight="1" x14ac:dyDescent="0.25">
      <c r="A16" s="16"/>
      <c r="B16" s="14"/>
      <c r="E16" s="17"/>
      <c r="F16" s="20"/>
      <c r="I16" s="17"/>
    </row>
    <row r="17" spans="1:45" ht="30" customHeight="1" x14ac:dyDescent="0.25">
      <c r="A17" s="16" t="s">
        <v>101</v>
      </c>
      <c r="B17" s="14">
        <v>0.42</v>
      </c>
      <c r="E17" s="16" t="s">
        <v>105</v>
      </c>
      <c r="F17" s="20">
        <f>K9/K19</f>
        <v>2.7853143056359877</v>
      </c>
      <c r="I17" s="16" t="s">
        <v>102</v>
      </c>
      <c r="M17">
        <f>M$11/(M$11-M6)*$B$17</f>
        <v>1.805461523929508</v>
      </c>
      <c r="N17">
        <f t="shared" ref="N17:AS17" si="10">N$11/(N$11-N6)*$B$17</f>
        <v>1.8519937965085669</v>
      </c>
      <c r="O17">
        <f t="shared" si="10"/>
        <v>1.9015670276506991</v>
      </c>
      <c r="P17">
        <f t="shared" si="10"/>
        <v>1.954499675937754</v>
      </c>
      <c r="Q17">
        <f t="shared" si="10"/>
        <v>2.0111570217386934</v>
      </c>
      <c r="R17">
        <f t="shared" si="10"/>
        <v>2.0719601896262652</v>
      </c>
      <c r="S17">
        <f t="shared" si="10"/>
        <v>2.1373973557140378</v>
      </c>
      <c r="T17">
        <f t="shared" si="10"/>
        <v>2.2080377864927154</v>
      </c>
      <c r="U17">
        <f t="shared" si="10"/>
        <v>2.2845495850001951</v>
      </c>
      <c r="V17">
        <f t="shared" si="10"/>
        <v>2.3677223454219409</v>
      </c>
      <c r="W17">
        <f t="shared" si="10"/>
        <v>2.4584963854716748</v>
      </c>
      <c r="X17">
        <f t="shared" si="10"/>
        <v>2.5580009107909594</v>
      </c>
      <c r="Y17">
        <f t="shared" si="10"/>
        <v>2.6676044848707585</v>
      </c>
      <c r="Z17">
        <f t="shared" si="10"/>
        <v>2.7889827240060727</v>
      </c>
      <c r="AA17">
        <f t="shared" si="10"/>
        <v>2.9242105314227418</v>
      </c>
      <c r="AB17">
        <f t="shared" si="10"/>
        <v>3.0758899809034261</v>
      </c>
      <c r="AC17">
        <f t="shared" si="10"/>
        <v>3.2473311360538037</v>
      </c>
      <c r="AD17">
        <f t="shared" si="10"/>
        <v>3.4428134343221086</v>
      </c>
      <c r="AE17">
        <f t="shared" si="10"/>
        <v>3.6679731644183491</v>
      </c>
      <c r="AF17">
        <f t="shared" si="10"/>
        <v>3.9303947228155218</v>
      </c>
      <c r="AG17">
        <f t="shared" si="10"/>
        <v>4.2405436472266782</v>
      </c>
      <c r="AH17">
        <f t="shared" si="10"/>
        <v>4.6132983607050067</v>
      </c>
      <c r="AI17">
        <f t="shared" si="10"/>
        <v>5.0705864161989949</v>
      </c>
      <c r="AJ17">
        <f t="shared" si="10"/>
        <v>5.6461901564901815</v>
      </c>
      <c r="AK17">
        <f t="shared" si="10"/>
        <v>6.3951577526288101</v>
      </c>
      <c r="AL17">
        <f t="shared" si="10"/>
        <v>7.414010368202125</v>
      </c>
      <c r="AM17">
        <f t="shared" si="10"/>
        <v>8.889824934314797</v>
      </c>
      <c r="AN17">
        <f t="shared" si="10"/>
        <v>11.242328274581183</v>
      </c>
      <c r="AO17">
        <f t="shared" si="10"/>
        <v>15.665944940453739</v>
      </c>
      <c r="AP17">
        <f t="shared" si="10"/>
        <v>27.649514563106656</v>
      </c>
      <c r="AQ17">
        <f t="shared" si="10"/>
        <v>7231.586811258876</v>
      </c>
      <c r="AR17">
        <f>AR$11/(AR$11-AR6)*$B$17</f>
        <v>7231.586811258876</v>
      </c>
      <c r="AS17">
        <f t="shared" si="10"/>
        <v>7231.586811258876</v>
      </c>
    </row>
    <row r="18" spans="1:45" ht="30" customHeight="1" x14ac:dyDescent="0.25">
      <c r="A18" s="16"/>
      <c r="B18" s="14"/>
      <c r="E18" s="17" t="s">
        <v>103</v>
      </c>
      <c r="F18" s="20">
        <f>K19</f>
        <v>82242.630672160463</v>
      </c>
      <c r="G18" t="s">
        <v>50</v>
      </c>
      <c r="I18" s="16" t="s">
        <v>77</v>
      </c>
      <c r="J18" t="s">
        <v>50</v>
      </c>
      <c r="M18">
        <f>M8/M17</f>
        <v>1076.125932280903</v>
      </c>
      <c r="N18">
        <f t="shared" ref="N18:AS18" si="11">N8/N17</f>
        <v>1014.1181377904555</v>
      </c>
      <c r="O18">
        <f t="shared" si="11"/>
        <v>953.62246411786589</v>
      </c>
      <c r="P18">
        <f t="shared" si="11"/>
        <v>894.66045484677613</v>
      </c>
      <c r="Q18">
        <f t="shared" si="11"/>
        <v>837.2544188993362</v>
      </c>
      <c r="R18">
        <f t="shared" si="11"/>
        <v>781.42748404929443</v>
      </c>
      <c r="S18">
        <f t="shared" si="11"/>
        <v>727.20365651874897</v>
      </c>
      <c r="T18">
        <f t="shared" si="11"/>
        <v>674.60788764561732</v>
      </c>
      <c r="U18">
        <f t="shared" si="11"/>
        <v>623.66614882041858</v>
      </c>
      <c r="V18">
        <f t="shared" si="11"/>
        <v>574.4055161597903</v>
      </c>
      <c r="W18">
        <f t="shared" si="11"/>
        <v>526.85426672915662</v>
      </c>
      <c r="X18">
        <f t="shared" si="11"/>
        <v>481.04198857469464</v>
      </c>
      <c r="Y18">
        <f t="shared" si="11"/>
        <v>436.99970741278895</v>
      </c>
      <c r="Z18">
        <f t="shared" si="11"/>
        <v>394.76003360785597</v>
      </c>
      <c r="AA18">
        <f t="shared" si="11"/>
        <v>354.35733412635307</v>
      </c>
      <c r="AB18">
        <f t="shared" si="11"/>
        <v>315.82793560537027</v>
      </c>
      <c r="AC18">
        <f t="shared" si="11"/>
        <v>279.21036670088154</v>
      </c>
      <c r="AD18">
        <f t="shared" si="11"/>
        <v>244.54565076987686</v>
      </c>
      <c r="AE18">
        <f t="shared" si="11"/>
        <v>211.87766415341687</v>
      </c>
      <c r="AF18">
        <f t="shared" si="11"/>
        <v>181.25358163081779</v>
      </c>
      <c r="AG18">
        <f t="shared" si="11"/>
        <v>152.72444032866741</v>
      </c>
      <c r="AH18">
        <f t="shared" si="11"/>
        <v>126.34586885937026</v>
      </c>
      <c r="AI18">
        <f t="shared" si="11"/>
        <v>102.17905418481509</v>
      </c>
      <c r="AJ18">
        <f t="shared" si="11"/>
        <v>80.292063512468914</v>
      </c>
      <c r="AK18">
        <f t="shared" si="11"/>
        <v>60.761721314451911</v>
      </c>
      <c r="AL18">
        <f t="shared" si="11"/>
        <v>43.676406091203646</v>
      </c>
      <c r="AM18">
        <f t="shared" si="11"/>
        <v>29.140490841933477</v>
      </c>
      <c r="AN18">
        <f t="shared" si="11"/>
        <v>17.282042635499558</v>
      </c>
      <c r="AO18">
        <f t="shared" si="11"/>
        <v>8.2680573393260364</v>
      </c>
      <c r="AP18">
        <f t="shared" si="11"/>
        <v>2.3423002734237275</v>
      </c>
      <c r="AQ18">
        <f t="shared" si="11"/>
        <v>8.9556368763280014E-6</v>
      </c>
      <c r="AR18">
        <f t="shared" si="11"/>
        <v>8.9556368763280014E-6</v>
      </c>
      <c r="AS18">
        <f t="shared" si="11"/>
        <v>8.9556368763280014E-6</v>
      </c>
    </row>
    <row r="19" spans="1:45" x14ac:dyDescent="0.25">
      <c r="A19" s="16"/>
      <c r="B19" s="14"/>
      <c r="E19" s="16"/>
      <c r="F19" s="20"/>
      <c r="I19" s="17" t="s">
        <v>78</v>
      </c>
      <c r="J19" t="s">
        <v>50</v>
      </c>
      <c r="K19">
        <f>SUM(M19:AS19)</f>
        <v>82242.630672160463</v>
      </c>
      <c r="M19">
        <f>M18*M4</f>
        <v>0</v>
      </c>
      <c r="N19">
        <f t="shared" ref="N19:AS19" si="12">N18*N4</f>
        <v>0</v>
      </c>
      <c r="O19">
        <f t="shared" si="12"/>
        <v>950.67918490762565</v>
      </c>
      <c r="P19">
        <f t="shared" si="12"/>
        <v>891.89915714663186</v>
      </c>
      <c r="Q19">
        <f t="shared" si="12"/>
        <v>834.67030032248647</v>
      </c>
      <c r="R19">
        <f t="shared" si="12"/>
        <v>2337.0470124807453</v>
      </c>
      <c r="S19">
        <f t="shared" si="12"/>
        <v>4349.7552047325071</v>
      </c>
      <c r="T19">
        <f t="shared" si="12"/>
        <v>8070.3091744271969</v>
      </c>
      <c r="U19">
        <f t="shared" si="12"/>
        <v>4973.9300263949308</v>
      </c>
      <c r="V19">
        <f t="shared" si="12"/>
        <v>6298.959255912755</v>
      </c>
      <c r="W19">
        <f t="shared" si="12"/>
        <v>10504.563466266518</v>
      </c>
      <c r="X19">
        <f t="shared" si="12"/>
        <v>7672.916657265494</v>
      </c>
      <c r="Y19">
        <f t="shared" si="12"/>
        <v>9148.6698005584749</v>
      </c>
      <c r="Z19">
        <f t="shared" si="12"/>
        <v>4328.9580228663908</v>
      </c>
      <c r="AA19">
        <f t="shared" si="12"/>
        <v>6005.4818570611251</v>
      </c>
      <c r="AB19">
        <f t="shared" si="12"/>
        <v>3463.3847382897507</v>
      </c>
      <c r="AC19">
        <f t="shared" si="12"/>
        <v>1948.4402441688048</v>
      </c>
      <c r="AD19">
        <f t="shared" si="12"/>
        <v>1218.9544012140468</v>
      </c>
      <c r="AE19">
        <f t="shared" si="12"/>
        <v>1901.0134867098216</v>
      </c>
      <c r="AF19">
        <f t="shared" si="12"/>
        <v>722.77662798461733</v>
      </c>
      <c r="AG19">
        <f t="shared" si="12"/>
        <v>1370.27761739332</v>
      </c>
      <c r="AH19">
        <f t="shared" si="12"/>
        <v>1763.3827746360246</v>
      </c>
      <c r="AI19">
        <f t="shared" si="12"/>
        <v>1222.3642408035282</v>
      </c>
      <c r="AJ19">
        <f t="shared" si="12"/>
        <v>1040.575230521162</v>
      </c>
      <c r="AK19">
        <f t="shared" si="12"/>
        <v>726.89022165066513</v>
      </c>
      <c r="AL19">
        <f t="shared" si="12"/>
        <v>217.70801184349966</v>
      </c>
      <c r="AM19">
        <f t="shared" si="12"/>
        <v>203.35385738769</v>
      </c>
      <c r="AN19">
        <f t="shared" si="12"/>
        <v>34.457405995471341</v>
      </c>
      <c r="AO19">
        <f t="shared" si="12"/>
        <v>41.212693219171449</v>
      </c>
      <c r="AP19">
        <f t="shared" si="12"/>
        <v>0</v>
      </c>
      <c r="AQ19">
        <f t="shared" si="12"/>
        <v>0</v>
      </c>
      <c r="AR19">
        <f t="shared" si="12"/>
        <v>0</v>
      </c>
      <c r="AS19">
        <f t="shared" si="12"/>
        <v>0</v>
      </c>
    </row>
    <row r="20" spans="1:45" x14ac:dyDescent="0.25">
      <c r="A20" s="16"/>
      <c r="B20" s="13"/>
      <c r="E20" s="16"/>
      <c r="F20" s="20"/>
      <c r="I20" s="16"/>
    </row>
    <row r="21" spans="1:45" x14ac:dyDescent="0.25">
      <c r="A21" s="16" t="s">
        <v>71</v>
      </c>
      <c r="B21" s="14">
        <v>0.9</v>
      </c>
      <c r="C21" t="s">
        <v>45</v>
      </c>
      <c r="E21" s="17" t="s">
        <v>67</v>
      </c>
      <c r="F21" s="20">
        <f>$B$4/$B$22/$B$21</f>
        <v>51111.111111111109</v>
      </c>
      <c r="G21" t="s">
        <v>64</v>
      </c>
      <c r="I21" s="16" t="s">
        <v>63</v>
      </c>
      <c r="J21" t="s">
        <v>64</v>
      </c>
      <c r="M21">
        <f t="shared" ref="M21:AS21" si="13">M8/$B$21/$B$22</f>
        <v>431.75643680798703</v>
      </c>
      <c r="N21">
        <f t="shared" si="13"/>
        <v>417.36455558105416</v>
      </c>
      <c r="O21">
        <f t="shared" si="13"/>
        <v>402.97267435412124</v>
      </c>
      <c r="P21">
        <f t="shared" si="13"/>
        <v>388.58079312718831</v>
      </c>
      <c r="Q21">
        <f t="shared" si="13"/>
        <v>374.18891190025545</v>
      </c>
      <c r="R21">
        <f t="shared" si="13"/>
        <v>359.79703067332252</v>
      </c>
      <c r="S21">
        <f t="shared" si="13"/>
        <v>345.40514944638966</v>
      </c>
      <c r="T21">
        <f t="shared" si="13"/>
        <v>331.01326821945673</v>
      </c>
      <c r="U21">
        <f t="shared" si="13"/>
        <v>316.62138699252381</v>
      </c>
      <c r="V21">
        <f t="shared" si="13"/>
        <v>302.22950576559094</v>
      </c>
      <c r="W21">
        <f t="shared" si="13"/>
        <v>287.83762453865802</v>
      </c>
      <c r="X21">
        <f t="shared" si="13"/>
        <v>273.4457433117251</v>
      </c>
      <c r="Y21">
        <f t="shared" si="13"/>
        <v>259.05386208479229</v>
      </c>
      <c r="Z21">
        <f t="shared" si="13"/>
        <v>244.66198085785931</v>
      </c>
      <c r="AA21">
        <f t="shared" si="13"/>
        <v>230.27009963092641</v>
      </c>
      <c r="AB21">
        <f t="shared" si="13"/>
        <v>215.87821840399351</v>
      </c>
      <c r="AC21">
        <f t="shared" si="13"/>
        <v>201.48633717706062</v>
      </c>
      <c r="AD21">
        <f t="shared" si="13"/>
        <v>187.09445595012772</v>
      </c>
      <c r="AE21">
        <f t="shared" si="13"/>
        <v>172.70257472319483</v>
      </c>
      <c r="AF21">
        <f t="shared" si="13"/>
        <v>158.31069349626191</v>
      </c>
      <c r="AG21">
        <f t="shared" si="13"/>
        <v>143.91881226932901</v>
      </c>
      <c r="AH21">
        <f t="shared" si="13"/>
        <v>129.52693104239614</v>
      </c>
      <c r="AI21">
        <f t="shared" si="13"/>
        <v>115.1350498154632</v>
      </c>
      <c r="AJ21">
        <f t="shared" si="13"/>
        <v>100.74316858853031</v>
      </c>
      <c r="AK21">
        <f t="shared" si="13"/>
        <v>86.351287361597414</v>
      </c>
      <c r="AL21">
        <f t="shared" si="13"/>
        <v>71.959406134664505</v>
      </c>
      <c r="AM21">
        <f t="shared" si="13"/>
        <v>57.567524907731602</v>
      </c>
      <c r="AN21">
        <f t="shared" si="13"/>
        <v>43.175643680798707</v>
      </c>
      <c r="AO21">
        <f t="shared" si="13"/>
        <v>28.783762453865801</v>
      </c>
      <c r="AP21">
        <f t="shared" si="13"/>
        <v>14.391881226932901</v>
      </c>
      <c r="AQ21">
        <f t="shared" si="13"/>
        <v>1.439188122695049E-2</v>
      </c>
      <c r="AR21">
        <f t="shared" si="13"/>
        <v>1.439188122695049E-2</v>
      </c>
      <c r="AS21">
        <f t="shared" si="13"/>
        <v>1.439188122695049E-2</v>
      </c>
    </row>
    <row r="22" spans="1:45" ht="30" x14ac:dyDescent="0.25">
      <c r="A22" s="16" t="s">
        <v>65</v>
      </c>
      <c r="B22" s="13">
        <v>5</v>
      </c>
      <c r="C22" t="s">
        <v>66</v>
      </c>
      <c r="E22" s="16" t="s">
        <v>68</v>
      </c>
      <c r="F22" s="20">
        <f>F21/$B$23</f>
        <v>78.632478632478623</v>
      </c>
      <c r="G22" t="s">
        <v>72</v>
      </c>
      <c r="I22" s="17" t="s">
        <v>104</v>
      </c>
      <c r="J22" t="s">
        <v>64</v>
      </c>
      <c r="K22">
        <f>SUM(M22:BC22)</f>
        <v>50904.794609845674</v>
      </c>
      <c r="M22">
        <f t="shared" ref="M22:AS22" si="14">M21*M4</f>
        <v>0</v>
      </c>
      <c r="N22">
        <f t="shared" si="14"/>
        <v>0</v>
      </c>
      <c r="O22">
        <f t="shared" si="14"/>
        <v>401.72893153204063</v>
      </c>
      <c r="P22">
        <f t="shared" si="14"/>
        <v>387.38146969161062</v>
      </c>
      <c r="Q22">
        <f t="shared" si="14"/>
        <v>373.0340078511806</v>
      </c>
      <c r="R22">
        <f t="shared" si="14"/>
        <v>1076.0596380322447</v>
      </c>
      <c r="S22">
        <f t="shared" si="14"/>
        <v>2066.0345050219184</v>
      </c>
      <c r="T22">
        <f t="shared" si="14"/>
        <v>3959.8994679586845</v>
      </c>
      <c r="U22">
        <f t="shared" si="14"/>
        <v>2525.1532839156775</v>
      </c>
      <c r="V22">
        <f t="shared" si="14"/>
        <v>3314.2636851393313</v>
      </c>
      <c r="W22">
        <f t="shared" si="14"/>
        <v>5738.9847361720085</v>
      </c>
      <c r="X22">
        <f t="shared" si="14"/>
        <v>4361.6283994907226</v>
      </c>
      <c r="Y22">
        <f t="shared" si="14"/>
        <v>5423.3405756825459</v>
      </c>
      <c r="Z22">
        <f t="shared" si="14"/>
        <v>2682.9753641604107</v>
      </c>
      <c r="AA22">
        <f t="shared" si="14"/>
        <v>3902.5096205969653</v>
      </c>
      <c r="AB22">
        <f t="shared" si="14"/>
        <v>2367.3312036709508</v>
      </c>
      <c r="AC22">
        <f t="shared" si="14"/>
        <v>1406.0512603621414</v>
      </c>
      <c r="AD22">
        <f t="shared" si="14"/>
        <v>932.58501962795151</v>
      </c>
      <c r="AE22">
        <f t="shared" si="14"/>
        <v>1549.5258787664409</v>
      </c>
      <c r="AF22">
        <f t="shared" si="14"/>
        <v>631.28832097891939</v>
      </c>
      <c r="AG22">
        <f t="shared" si="14"/>
        <v>1291.2715656387006</v>
      </c>
      <c r="AH22">
        <f t="shared" si="14"/>
        <v>1807.7801918941823</v>
      </c>
      <c r="AI22">
        <f t="shared" si="14"/>
        <v>1377.3563366812816</v>
      </c>
      <c r="AJ22">
        <f t="shared" si="14"/>
        <v>1305.61902747913</v>
      </c>
      <c r="AK22">
        <f t="shared" si="14"/>
        <v>1033.0172525109613</v>
      </c>
      <c r="AL22">
        <f t="shared" si="14"/>
        <v>358.68654601075053</v>
      </c>
      <c r="AM22">
        <f t="shared" si="14"/>
        <v>401.72893153204035</v>
      </c>
      <c r="AN22">
        <f t="shared" si="14"/>
        <v>86.084771042580144</v>
      </c>
      <c r="AO22">
        <f t="shared" si="14"/>
        <v>143.47461840430023</v>
      </c>
      <c r="AP22">
        <f t="shared" si="14"/>
        <v>0</v>
      </c>
      <c r="AQ22">
        <f t="shared" si="14"/>
        <v>0</v>
      </c>
      <c r="AR22">
        <f t="shared" si="14"/>
        <v>0</v>
      </c>
      <c r="AS22">
        <f t="shared" si="14"/>
        <v>0</v>
      </c>
    </row>
    <row r="23" spans="1:45" x14ac:dyDescent="0.25">
      <c r="A23" s="16" t="s">
        <v>69</v>
      </c>
      <c r="B23" s="13">
        <v>650</v>
      </c>
      <c r="C23" t="s">
        <v>70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3"/>
  <sheetViews>
    <sheetView tabSelected="1" topLeftCell="B1" zoomScaleNormal="100" workbookViewId="0">
      <selection activeCell="B1" sqref="B1"/>
    </sheetView>
  </sheetViews>
  <sheetFormatPr baseColWidth="10" defaultColWidth="9.140625" defaultRowHeight="15" x14ac:dyDescent="0.25"/>
  <cols>
    <col min="1" max="1" width="34.42578125" customWidth="1"/>
    <col min="2" max="2" width="12.28515625" customWidth="1"/>
    <col min="3" max="3" width="17.85546875" customWidth="1"/>
    <col min="4" max="4" width="13.7109375" customWidth="1"/>
    <col min="5" max="5" width="46.42578125" customWidth="1"/>
    <col min="6" max="6" width="11.7109375" customWidth="1"/>
    <col min="7" max="7" width="13.7109375" customWidth="1"/>
    <col min="9" max="9" width="53.42578125" customWidth="1"/>
    <col min="10" max="10" width="13.42578125" customWidth="1"/>
    <col min="11" max="11" width="21.140625" customWidth="1"/>
    <col min="13" max="55" width="15.7109375" customWidth="1"/>
  </cols>
  <sheetData>
    <row r="1" spans="1:55" ht="21" x14ac:dyDescent="0.35">
      <c r="A1" s="15" t="s">
        <v>39</v>
      </c>
      <c r="B1" s="15" t="s">
        <v>42</v>
      </c>
      <c r="C1" s="15" t="s">
        <v>34</v>
      </c>
      <c r="D1" s="15"/>
      <c r="E1" s="15" t="s">
        <v>58</v>
      </c>
      <c r="F1" s="15" t="s">
        <v>42</v>
      </c>
      <c r="G1" s="15" t="s">
        <v>34</v>
      </c>
      <c r="H1" s="15"/>
      <c r="I1" s="15" t="s">
        <v>33</v>
      </c>
      <c r="J1" s="15" t="s">
        <v>34</v>
      </c>
      <c r="K1" s="15" t="s">
        <v>35</v>
      </c>
    </row>
    <row r="2" spans="1:55" x14ac:dyDescent="0.25">
      <c r="A2" s="16" t="s">
        <v>41</v>
      </c>
      <c r="B2" s="13">
        <v>242.25</v>
      </c>
      <c r="C2" t="s">
        <v>44</v>
      </c>
      <c r="F2" s="18"/>
      <c r="I2" s="16" t="s">
        <v>36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13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t="s">
        <v>31</v>
      </c>
      <c r="AS2" t="s">
        <v>32</v>
      </c>
    </row>
    <row r="3" spans="1:55" x14ac:dyDescent="0.25">
      <c r="A3" s="16" t="s">
        <v>57</v>
      </c>
      <c r="B3" s="13">
        <v>6.37</v>
      </c>
      <c r="C3" t="s">
        <v>43</v>
      </c>
      <c r="F3" s="18"/>
      <c r="I3" s="16" t="s">
        <v>37</v>
      </c>
      <c r="J3" t="s">
        <v>45</v>
      </c>
      <c r="K3" s="3">
        <f>SUM(M3:BC3)</f>
        <v>0.999999999999999</v>
      </c>
      <c r="M3" s="2">
        <v>2.3980815347721799E-3</v>
      </c>
      <c r="N3" s="2">
        <v>2.3980815347721799E-3</v>
      </c>
      <c r="O3" s="2">
        <v>2.7406646111682001E-3</v>
      </c>
      <c r="P3" s="2">
        <v>3.42583076396026E-3</v>
      </c>
      <c r="Q3" s="2">
        <v>4.4535799931483301E-3</v>
      </c>
      <c r="R3" s="2">
        <v>5.4813292223364098E-3</v>
      </c>
      <c r="S3" s="2">
        <v>1.1990407673860899E-2</v>
      </c>
      <c r="T3" s="2">
        <v>1.3703323055841E-2</v>
      </c>
      <c r="U3" s="2">
        <v>2.1925316889345601E-2</v>
      </c>
      <c r="V3" s="2">
        <v>3.2545392257622402E-2</v>
      </c>
      <c r="W3" s="2">
        <v>4.4878383007879399E-2</v>
      </c>
      <c r="X3" s="2">
        <v>5.2415210688591903E-2</v>
      </c>
      <c r="Y3" s="2">
        <v>6.3720452209660799E-2</v>
      </c>
      <c r="Z3" s="2">
        <v>6.4748201438848907E-2</v>
      </c>
      <c r="AA3" s="2">
        <v>6.0637204522096602E-2</v>
      </c>
      <c r="AB3" s="2">
        <v>6.6118533744432995E-2</v>
      </c>
      <c r="AC3" s="2">
        <v>5.82391229873244E-2</v>
      </c>
      <c r="AD3" s="2">
        <v>6.9201781431997206E-2</v>
      </c>
      <c r="AE3" s="2">
        <v>5.7896539910928399E-2</v>
      </c>
      <c r="AF3" s="2">
        <v>5.0359712230215799E-2</v>
      </c>
      <c r="AG3" s="2">
        <v>4.9674546077423699E-2</v>
      </c>
      <c r="AH3" s="2">
        <v>5.2072627612195901E-2</v>
      </c>
      <c r="AI3" s="2">
        <v>4.7961630695443597E-2</v>
      </c>
      <c r="AJ3" s="2">
        <v>4.2480301473107197E-2</v>
      </c>
      <c r="AK3" s="2">
        <v>4.0424803014731003E-2</v>
      </c>
      <c r="AL3" s="2">
        <v>3.0489893799246302E-2</v>
      </c>
      <c r="AM3" s="2">
        <v>2.2267899965741599E-2</v>
      </c>
      <c r="AN3" s="2">
        <v>1.09626584446728E-2</v>
      </c>
      <c r="AO3" s="2">
        <v>7.1942446043165402E-3</v>
      </c>
      <c r="AP3" s="2">
        <v>4.1109969167523099E-3</v>
      </c>
      <c r="AQ3" s="2">
        <v>1.71291538198013E-3</v>
      </c>
      <c r="AR3" s="2">
        <v>6.8516615279205198E-4</v>
      </c>
      <c r="AS3" s="2">
        <v>6.8516615279205198E-4</v>
      </c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x14ac:dyDescent="0.25">
      <c r="A4" s="16" t="s">
        <v>49</v>
      </c>
      <c r="B4" s="13">
        <v>201600</v>
      </c>
      <c r="C4" t="s">
        <v>51</v>
      </c>
      <c r="F4" s="18"/>
      <c r="I4" s="16" t="s">
        <v>38</v>
      </c>
      <c r="J4" t="s">
        <v>44</v>
      </c>
      <c r="K4">
        <f>SUM(M4:BC4)</f>
        <v>242.2499999999998</v>
      </c>
      <c r="M4">
        <f t="shared" ref="M4:AS4" si="0">M3*$B$2</f>
        <v>0.58093525179856054</v>
      </c>
      <c r="N4">
        <f t="shared" si="0"/>
        <v>0.58093525179856054</v>
      </c>
      <c r="O4">
        <f t="shared" si="0"/>
        <v>0.66392600205549646</v>
      </c>
      <c r="P4">
        <f t="shared" si="0"/>
        <v>0.82990750256937296</v>
      </c>
      <c r="Q4">
        <f t="shared" si="0"/>
        <v>1.078879753340183</v>
      </c>
      <c r="R4">
        <f t="shared" si="0"/>
        <v>1.3278520041109954</v>
      </c>
      <c r="S4">
        <f t="shared" si="0"/>
        <v>2.904676258992803</v>
      </c>
      <c r="T4">
        <f t="shared" si="0"/>
        <v>3.3196300102774821</v>
      </c>
      <c r="U4">
        <f t="shared" si="0"/>
        <v>5.3114080164439716</v>
      </c>
      <c r="V4">
        <f t="shared" si="0"/>
        <v>7.8841212744090265</v>
      </c>
      <c r="W4">
        <f t="shared" si="0"/>
        <v>10.871788283658784</v>
      </c>
      <c r="X4">
        <f t="shared" si="0"/>
        <v>12.697584789311389</v>
      </c>
      <c r="Y4">
        <f t="shared" si="0"/>
        <v>15.436279547790329</v>
      </c>
      <c r="Z4">
        <f t="shared" si="0"/>
        <v>15.685251798561147</v>
      </c>
      <c r="AA4">
        <f t="shared" si="0"/>
        <v>14.689362795477901</v>
      </c>
      <c r="AB4">
        <f t="shared" si="0"/>
        <v>16.017214799588892</v>
      </c>
      <c r="AC4">
        <f t="shared" si="0"/>
        <v>14.108427543679335</v>
      </c>
      <c r="AD4">
        <f t="shared" si="0"/>
        <v>16.764131551901322</v>
      </c>
      <c r="AE4">
        <f t="shared" si="0"/>
        <v>14.025436793422404</v>
      </c>
      <c r="AF4">
        <f t="shared" si="0"/>
        <v>12.199640287769776</v>
      </c>
      <c r="AG4">
        <f t="shared" si="0"/>
        <v>12.033658787255892</v>
      </c>
      <c r="AH4">
        <f t="shared" si="0"/>
        <v>12.614594039054458</v>
      </c>
      <c r="AI4">
        <f t="shared" si="0"/>
        <v>11.618705035971212</v>
      </c>
      <c r="AJ4">
        <f t="shared" si="0"/>
        <v>10.290853031860218</v>
      </c>
      <c r="AK4">
        <f t="shared" si="0"/>
        <v>9.7929085303185861</v>
      </c>
      <c r="AL4">
        <f t="shared" si="0"/>
        <v>7.3861767728674161</v>
      </c>
      <c r="AM4">
        <f t="shared" si="0"/>
        <v>5.3943987667009026</v>
      </c>
      <c r="AN4">
        <f t="shared" si="0"/>
        <v>2.6557040082219858</v>
      </c>
      <c r="AO4">
        <f t="shared" si="0"/>
        <v>1.7428057553956819</v>
      </c>
      <c r="AP4">
        <f t="shared" si="0"/>
        <v>0.99588900308324713</v>
      </c>
      <c r="AQ4">
        <f t="shared" si="0"/>
        <v>0.41495375128468648</v>
      </c>
      <c r="AR4">
        <f t="shared" si="0"/>
        <v>0.16598150051387459</v>
      </c>
      <c r="AS4">
        <f t="shared" si="0"/>
        <v>0.16598150051387459</v>
      </c>
    </row>
    <row r="5" spans="1:55" ht="53.25" customHeight="1" x14ac:dyDescent="0.25">
      <c r="A5" s="16" t="s">
        <v>54</v>
      </c>
      <c r="B5" s="13">
        <v>20</v>
      </c>
      <c r="C5" t="s">
        <v>43</v>
      </c>
      <c r="E5" s="17" t="s">
        <v>59</v>
      </c>
      <c r="F5" s="19">
        <f>B4/B2/(20-B3)</f>
        <v>61.056356743570113</v>
      </c>
      <c r="G5" t="s">
        <v>60</v>
      </c>
      <c r="I5" s="17" t="s">
        <v>62</v>
      </c>
      <c r="J5" t="s">
        <v>43</v>
      </c>
      <c r="M5">
        <v>-10</v>
      </c>
      <c r="N5">
        <v>-9</v>
      </c>
      <c r="O5">
        <v>-8</v>
      </c>
      <c r="P5">
        <v>-7</v>
      </c>
      <c r="Q5">
        <v>-6</v>
      </c>
      <c r="R5">
        <v>-5</v>
      </c>
      <c r="S5">
        <v>-4</v>
      </c>
      <c r="T5">
        <v>-3</v>
      </c>
      <c r="U5">
        <v>-2</v>
      </c>
      <c r="V5">
        <v>-1</v>
      </c>
      <c r="W5">
        <v>0</v>
      </c>
      <c r="X5">
        <v>1</v>
      </c>
      <c r="Y5">
        <v>2</v>
      </c>
      <c r="Z5">
        <v>3</v>
      </c>
      <c r="AA5">
        <v>4</v>
      </c>
      <c r="AB5">
        <v>5</v>
      </c>
      <c r="AC5">
        <v>6</v>
      </c>
      <c r="AD5">
        <v>7</v>
      </c>
      <c r="AE5">
        <v>8</v>
      </c>
      <c r="AF5">
        <v>9</v>
      </c>
      <c r="AG5">
        <v>10</v>
      </c>
      <c r="AH5">
        <v>11</v>
      </c>
      <c r="AI5">
        <v>12</v>
      </c>
      <c r="AJ5">
        <v>13</v>
      </c>
      <c r="AK5">
        <v>14</v>
      </c>
      <c r="AL5">
        <v>15</v>
      </c>
      <c r="AM5">
        <v>16</v>
      </c>
      <c r="AN5">
        <v>17</v>
      </c>
      <c r="AO5">
        <v>18</v>
      </c>
      <c r="AP5">
        <v>19</v>
      </c>
      <c r="AQ5">
        <v>19.998999999999999</v>
      </c>
      <c r="AR5">
        <v>19.998999999999999</v>
      </c>
      <c r="AS5">
        <v>19.998999999999999</v>
      </c>
    </row>
    <row r="6" spans="1:55" ht="30" x14ac:dyDescent="0.25">
      <c r="A6" s="17" t="s">
        <v>55</v>
      </c>
      <c r="B6" s="13">
        <f>B5</f>
        <v>20</v>
      </c>
      <c r="C6" t="s">
        <v>43</v>
      </c>
      <c r="E6" s="16"/>
      <c r="F6" s="18"/>
      <c r="I6" s="16" t="s">
        <v>40</v>
      </c>
      <c r="J6" t="s">
        <v>53</v>
      </c>
      <c r="M6">
        <f>M5+273.15</f>
        <v>263.14999999999998</v>
      </c>
      <c r="N6">
        <f t="shared" ref="N6:AS6" si="1">N5+273.15</f>
        <v>264.14999999999998</v>
      </c>
      <c r="O6">
        <f t="shared" si="1"/>
        <v>265.14999999999998</v>
      </c>
      <c r="P6">
        <f t="shared" si="1"/>
        <v>266.14999999999998</v>
      </c>
      <c r="Q6">
        <f t="shared" si="1"/>
        <v>267.14999999999998</v>
      </c>
      <c r="R6">
        <f t="shared" si="1"/>
        <v>268.14999999999998</v>
      </c>
      <c r="S6">
        <f t="shared" si="1"/>
        <v>269.14999999999998</v>
      </c>
      <c r="T6">
        <f t="shared" si="1"/>
        <v>270.14999999999998</v>
      </c>
      <c r="U6">
        <f t="shared" si="1"/>
        <v>271.14999999999998</v>
      </c>
      <c r="V6">
        <f t="shared" si="1"/>
        <v>272.14999999999998</v>
      </c>
      <c r="W6">
        <f t="shared" si="1"/>
        <v>273.14999999999998</v>
      </c>
      <c r="X6">
        <f t="shared" si="1"/>
        <v>274.14999999999998</v>
      </c>
      <c r="Y6">
        <f t="shared" si="1"/>
        <v>275.14999999999998</v>
      </c>
      <c r="Z6">
        <f t="shared" si="1"/>
        <v>276.14999999999998</v>
      </c>
      <c r="AA6">
        <f t="shared" si="1"/>
        <v>277.14999999999998</v>
      </c>
      <c r="AB6">
        <f t="shared" si="1"/>
        <v>278.14999999999998</v>
      </c>
      <c r="AC6">
        <f t="shared" si="1"/>
        <v>279.14999999999998</v>
      </c>
      <c r="AD6">
        <f t="shared" si="1"/>
        <v>280.14999999999998</v>
      </c>
      <c r="AE6">
        <f t="shared" si="1"/>
        <v>281.14999999999998</v>
      </c>
      <c r="AF6">
        <f t="shared" si="1"/>
        <v>282.14999999999998</v>
      </c>
      <c r="AG6">
        <f t="shared" si="1"/>
        <v>283.14999999999998</v>
      </c>
      <c r="AH6">
        <f t="shared" si="1"/>
        <v>284.14999999999998</v>
      </c>
      <c r="AI6">
        <f t="shared" si="1"/>
        <v>285.14999999999998</v>
      </c>
      <c r="AJ6">
        <f t="shared" si="1"/>
        <v>286.14999999999998</v>
      </c>
      <c r="AK6">
        <f t="shared" si="1"/>
        <v>287.14999999999998</v>
      </c>
      <c r="AL6">
        <f t="shared" si="1"/>
        <v>288.14999999999998</v>
      </c>
      <c r="AM6">
        <f t="shared" si="1"/>
        <v>289.14999999999998</v>
      </c>
      <c r="AN6">
        <f t="shared" si="1"/>
        <v>290.14999999999998</v>
      </c>
      <c r="AO6">
        <f t="shared" si="1"/>
        <v>291.14999999999998</v>
      </c>
      <c r="AP6">
        <f t="shared" si="1"/>
        <v>292.14999999999998</v>
      </c>
      <c r="AQ6">
        <f t="shared" si="1"/>
        <v>293.149</v>
      </c>
      <c r="AR6">
        <f t="shared" si="1"/>
        <v>293.149</v>
      </c>
      <c r="AS6">
        <f t="shared" si="1"/>
        <v>293.149</v>
      </c>
    </row>
    <row r="7" spans="1:55" x14ac:dyDescent="0.25">
      <c r="A7" s="16" t="s">
        <v>56</v>
      </c>
      <c r="B7" s="13">
        <v>1.65</v>
      </c>
      <c r="E7" s="16"/>
      <c r="F7" s="18"/>
      <c r="I7" s="16"/>
    </row>
    <row r="8" spans="1:55" x14ac:dyDescent="0.25">
      <c r="A8" s="16"/>
      <c r="B8" s="13"/>
      <c r="E8" s="16"/>
      <c r="F8" s="18"/>
      <c r="I8" s="16" t="s">
        <v>47</v>
      </c>
      <c r="J8" t="s">
        <v>48</v>
      </c>
      <c r="M8">
        <f>(20-M5)*$F$5</f>
        <v>1831.6907023071035</v>
      </c>
      <c r="N8">
        <f t="shared" ref="N8:AS8" si="2">(20-N5)*$F$5</f>
        <v>1770.6343455635333</v>
      </c>
      <c r="O8">
        <f t="shared" si="2"/>
        <v>1709.5779888199631</v>
      </c>
      <c r="P8">
        <f t="shared" si="2"/>
        <v>1648.521632076393</v>
      </c>
      <c r="Q8">
        <f t="shared" si="2"/>
        <v>1587.465275332823</v>
      </c>
      <c r="R8">
        <f t="shared" si="2"/>
        <v>1526.4089185892528</v>
      </c>
      <c r="S8">
        <f t="shared" si="2"/>
        <v>1465.3525618456827</v>
      </c>
      <c r="T8">
        <f t="shared" si="2"/>
        <v>1404.2962051021127</v>
      </c>
      <c r="U8">
        <f t="shared" si="2"/>
        <v>1343.2398483585425</v>
      </c>
      <c r="V8">
        <f t="shared" si="2"/>
        <v>1282.1834916149724</v>
      </c>
      <c r="W8">
        <f t="shared" si="2"/>
        <v>1221.1271348714022</v>
      </c>
      <c r="X8">
        <f t="shared" si="2"/>
        <v>1160.0707781278322</v>
      </c>
      <c r="Y8">
        <f t="shared" si="2"/>
        <v>1099.0144213842621</v>
      </c>
      <c r="Z8">
        <f t="shared" si="2"/>
        <v>1037.9580646406919</v>
      </c>
      <c r="AA8">
        <f t="shared" si="2"/>
        <v>976.90170789712181</v>
      </c>
      <c r="AB8">
        <f t="shared" si="2"/>
        <v>915.84535115355175</v>
      </c>
      <c r="AC8">
        <f t="shared" si="2"/>
        <v>854.78899440998157</v>
      </c>
      <c r="AD8">
        <f t="shared" si="2"/>
        <v>793.73263766641151</v>
      </c>
      <c r="AE8">
        <f t="shared" si="2"/>
        <v>732.67628092284133</v>
      </c>
      <c r="AF8">
        <f t="shared" si="2"/>
        <v>671.61992417927127</v>
      </c>
      <c r="AG8">
        <f t="shared" si="2"/>
        <v>610.56356743570109</v>
      </c>
      <c r="AH8">
        <f t="shared" si="2"/>
        <v>549.50721069213103</v>
      </c>
      <c r="AI8">
        <f t="shared" si="2"/>
        <v>488.4508539485609</v>
      </c>
      <c r="AJ8">
        <f t="shared" si="2"/>
        <v>427.39449720499078</v>
      </c>
      <c r="AK8">
        <f t="shared" si="2"/>
        <v>366.33814046142066</v>
      </c>
      <c r="AL8">
        <f t="shared" si="2"/>
        <v>305.28178371785054</v>
      </c>
      <c r="AM8">
        <f t="shared" si="2"/>
        <v>244.22542697428045</v>
      </c>
      <c r="AN8">
        <f t="shared" si="2"/>
        <v>183.16907023071033</v>
      </c>
      <c r="AO8">
        <f t="shared" si="2"/>
        <v>122.11271348714023</v>
      </c>
      <c r="AP8">
        <f t="shared" si="2"/>
        <v>61.056356743570113</v>
      </c>
      <c r="AQ8">
        <f t="shared" si="2"/>
        <v>6.1056356743644735E-2</v>
      </c>
      <c r="AR8">
        <f t="shared" si="2"/>
        <v>6.1056356743644735E-2</v>
      </c>
      <c r="AS8">
        <f t="shared" si="2"/>
        <v>6.1056356743644735E-2</v>
      </c>
    </row>
    <row r="9" spans="1:55" ht="30" customHeight="1" x14ac:dyDescent="0.25">
      <c r="A9" s="16"/>
      <c r="B9" s="13"/>
      <c r="E9" s="16"/>
      <c r="F9" s="18"/>
      <c r="I9" s="17" t="s">
        <v>61</v>
      </c>
      <c r="J9" t="s">
        <v>50</v>
      </c>
      <c r="K9">
        <f t="shared" ref="K9" si="3">SUM(M9:BC9)</f>
        <v>200875.60047926422</v>
      </c>
      <c r="M9">
        <f>M8*M4</f>
        <v>1064.0936993618593</v>
      </c>
      <c r="N9">
        <f t="shared" ref="N9:AS9" si="4">N8*N4</f>
        <v>1028.6239093831307</v>
      </c>
      <c r="O9">
        <f t="shared" si="4"/>
        <v>1135.0332793193143</v>
      </c>
      <c r="P9">
        <f t="shared" si="4"/>
        <v>1368.120470608106</v>
      </c>
      <c r="Q9">
        <f t="shared" si="4"/>
        <v>1712.6841446871817</v>
      </c>
      <c r="R9">
        <f t="shared" si="4"/>
        <v>2026.8451416416365</v>
      </c>
      <c r="S9">
        <f t="shared" si="4"/>
        <v>4256.3747974474372</v>
      </c>
      <c r="T9">
        <f t="shared" si="4"/>
        <v>4661.7438257757558</v>
      </c>
      <c r="U9">
        <f t="shared" si="4"/>
        <v>7134.4948985785477</v>
      </c>
      <c r="V9">
        <f t="shared" si="4"/>
        <v>10108.890143937651</v>
      </c>
      <c r="W9">
        <f t="shared" si="4"/>
        <v>13275.83567775273</v>
      </c>
      <c r="X9">
        <f t="shared" si="4"/>
        <v>14730.097066880589</v>
      </c>
      <c r="Y9">
        <f t="shared" si="4"/>
        <v>16964.693835540507</v>
      </c>
      <c r="Z9">
        <f t="shared" si="4"/>
        <v>16280.633600236459</v>
      </c>
      <c r="AA9">
        <f t="shared" si="4"/>
        <v>14350.063602822802</v>
      </c>
      <c r="AB9">
        <f t="shared" si="4"/>
        <v>14669.291712631355</v>
      </c>
      <c r="AC9">
        <f t="shared" si="4"/>
        <v>12059.728592767746</v>
      </c>
      <c r="AD9">
        <f t="shared" si="4"/>
        <v>13306.238354877349</v>
      </c>
      <c r="AE9">
        <f t="shared" si="4"/>
        <v>10276.104868123108</v>
      </c>
      <c r="AF9">
        <f t="shared" si="4"/>
        <v>8193.5214850863213</v>
      </c>
      <c r="AG9">
        <f t="shared" si="4"/>
        <v>7347.3136384509298</v>
      </c>
      <c r="AH9">
        <f t="shared" si="4"/>
        <v>6931.810384414398</v>
      </c>
      <c r="AI9">
        <f t="shared" si="4"/>
        <v>5675.1663965965836</v>
      </c>
      <c r="AJ9">
        <f t="shared" si="4"/>
        <v>4398.2539573623526</v>
      </c>
      <c r="AK9">
        <f t="shared" si="4"/>
        <v>3587.515900705695</v>
      </c>
      <c r="AL9">
        <f t="shared" si="4"/>
        <v>2254.8652200763217</v>
      </c>
      <c r="AM9">
        <f t="shared" si="4"/>
        <v>1317.4493420670599</v>
      </c>
      <c r="AN9">
        <f t="shared" si="4"/>
        <v>486.44283399399183</v>
      </c>
      <c r="AO9">
        <f t="shared" si="4"/>
        <v>212.81873987237191</v>
      </c>
      <c r="AP9">
        <f t="shared" si="4"/>
        <v>60.805354249249135</v>
      </c>
      <c r="AQ9">
        <f t="shared" si="4"/>
        <v>2.5335564270551447E-2</v>
      </c>
      <c r="AR9">
        <f t="shared" si="4"/>
        <v>1.0134225708220578E-2</v>
      </c>
      <c r="AS9">
        <f t="shared" si="4"/>
        <v>1.0134225708220578E-2</v>
      </c>
    </row>
    <row r="10" spans="1:55" x14ac:dyDescent="0.25">
      <c r="A10" s="16"/>
      <c r="B10" s="13"/>
      <c r="E10" s="16"/>
      <c r="F10" s="18"/>
      <c r="I10" s="16" t="s">
        <v>52</v>
      </c>
      <c r="J10" t="s">
        <v>43</v>
      </c>
      <c r="M10">
        <f>20+$B$7*2.125*(20-M5)^0.78</f>
        <v>69.773417082366706</v>
      </c>
      <c r="N10">
        <f t="shared" ref="N10:AS10" si="5">20+$B$7*2.125*(20-N5)^0.78</f>
        <v>68.47449763434517</v>
      </c>
      <c r="O10">
        <f t="shared" si="5"/>
        <v>67.165684657944126</v>
      </c>
      <c r="P10">
        <f t="shared" si="5"/>
        <v>65.846545198315411</v>
      </c>
      <c r="Q10">
        <f t="shared" si="5"/>
        <v>64.516610533756904</v>
      </c>
      <c r="R10">
        <f t="shared" si="5"/>
        <v>63.17537172338244</v>
      </c>
      <c r="S10">
        <f t="shared" si="5"/>
        <v>61.82227439904284</v>
      </c>
      <c r="T10">
        <f t="shared" si="5"/>
        <v>60.456712636124252</v>
      </c>
      <c r="U10">
        <f t="shared" si="5"/>
        <v>59.078021692830504</v>
      </c>
      <c r="V10">
        <f t="shared" si="5"/>
        <v>57.685469347653978</v>
      </c>
      <c r="W10">
        <f t="shared" si="5"/>
        <v>56.278245484087535</v>
      </c>
      <c r="X10">
        <f t="shared" si="5"/>
        <v>54.855449461619941</v>
      </c>
      <c r="Y10">
        <f t="shared" si="5"/>
        <v>53.416074659881765</v>
      </c>
      <c r="Z10">
        <f t="shared" si="5"/>
        <v>51.958989369017715</v>
      </c>
      <c r="AA10">
        <f t="shared" si="5"/>
        <v>50.482912893855925</v>
      </c>
      <c r="AB10">
        <f t="shared" si="5"/>
        <v>48.98638529456764</v>
      </c>
      <c r="AC10">
        <f t="shared" si="5"/>
        <v>47.467728524943752</v>
      </c>
      <c r="AD10">
        <f t="shared" si="5"/>
        <v>45.924995722201054</v>
      </c>
      <c r="AE10">
        <f t="shared" si="5"/>
        <v>44.355903827532515</v>
      </c>
      <c r="AF10">
        <f t="shared" si="5"/>
        <v>42.75774217919129</v>
      </c>
      <c r="AG10">
        <f t="shared" si="5"/>
        <v>41.127245486732178</v>
      </c>
      <c r="AH10">
        <f t="shared" si="5"/>
        <v>39.460412242150895</v>
      </c>
      <c r="AI10">
        <f t="shared" si="5"/>
        <v>37.752236230433169</v>
      </c>
      <c r="AJ10">
        <f t="shared" si="5"/>
        <v>35.996292978499824</v>
      </c>
      <c r="AK10">
        <f t="shared" si="5"/>
        <v>34.184069608361369</v>
      </c>
      <c r="AL10">
        <f t="shared" si="5"/>
        <v>32.303806203980528</v>
      </c>
      <c r="AM10">
        <f t="shared" si="5"/>
        <v>30.338312886253846</v>
      </c>
      <c r="AN10">
        <f t="shared" si="5"/>
        <v>28.260331132832484</v>
      </c>
      <c r="AO10">
        <f t="shared" si="5"/>
        <v>26.020690123019747</v>
      </c>
      <c r="AP10">
        <f t="shared" si="5"/>
        <v>23.506250000000001</v>
      </c>
      <c r="AQ10">
        <f t="shared" si="5"/>
        <v>20.016026654648385</v>
      </c>
      <c r="AR10">
        <f t="shared" si="5"/>
        <v>20.016026654648385</v>
      </c>
      <c r="AS10">
        <f t="shared" si="5"/>
        <v>20.016026654648385</v>
      </c>
    </row>
    <row r="11" spans="1:55" x14ac:dyDescent="0.25">
      <c r="A11" s="16"/>
      <c r="B11" s="13"/>
      <c r="E11" s="16"/>
      <c r="F11" s="18"/>
      <c r="I11" s="16" t="s">
        <v>76</v>
      </c>
      <c r="J11" t="s">
        <v>53</v>
      </c>
      <c r="M11">
        <f>M10+273.15</f>
        <v>342.92341708236665</v>
      </c>
      <c r="N11">
        <f t="shared" ref="N11:AS11" si="6">N10+273.15</f>
        <v>341.62449763434518</v>
      </c>
      <c r="O11">
        <f t="shared" si="6"/>
        <v>340.31568465794408</v>
      </c>
      <c r="P11">
        <f t="shared" si="6"/>
        <v>338.9965451983154</v>
      </c>
      <c r="Q11">
        <f t="shared" si="6"/>
        <v>337.66661053375685</v>
      </c>
      <c r="R11">
        <f t="shared" si="6"/>
        <v>336.32537172338243</v>
      </c>
      <c r="S11">
        <f t="shared" si="6"/>
        <v>334.97227439904282</v>
      </c>
      <c r="T11">
        <f t="shared" si="6"/>
        <v>333.60671263612426</v>
      </c>
      <c r="U11">
        <f t="shared" si="6"/>
        <v>332.22802169283045</v>
      </c>
      <c r="V11">
        <f t="shared" si="6"/>
        <v>330.83546934765394</v>
      </c>
      <c r="W11">
        <f t="shared" si="6"/>
        <v>329.42824548408748</v>
      </c>
      <c r="X11">
        <f t="shared" si="6"/>
        <v>328.00544946161995</v>
      </c>
      <c r="Y11">
        <f t="shared" si="6"/>
        <v>326.56607465988174</v>
      </c>
      <c r="Z11">
        <f t="shared" si="6"/>
        <v>325.10898936901771</v>
      </c>
      <c r="AA11">
        <f t="shared" si="6"/>
        <v>323.63291289385592</v>
      </c>
      <c r="AB11">
        <f t="shared" si="6"/>
        <v>322.13638529456762</v>
      </c>
      <c r="AC11">
        <f t="shared" si="6"/>
        <v>320.61772852494374</v>
      </c>
      <c r="AD11">
        <f t="shared" si="6"/>
        <v>319.07499572220104</v>
      </c>
      <c r="AE11">
        <f t="shared" si="6"/>
        <v>317.50590382753251</v>
      </c>
      <c r="AF11">
        <f t="shared" si="6"/>
        <v>315.90774217919125</v>
      </c>
      <c r="AG11">
        <f t="shared" si="6"/>
        <v>314.27724548673217</v>
      </c>
      <c r="AH11">
        <f t="shared" si="6"/>
        <v>312.61041224215086</v>
      </c>
      <c r="AI11">
        <f t="shared" si="6"/>
        <v>310.90223623043312</v>
      </c>
      <c r="AJ11">
        <f t="shared" si="6"/>
        <v>309.14629297849979</v>
      </c>
      <c r="AK11">
        <f t="shared" si="6"/>
        <v>307.33406960836135</v>
      </c>
      <c r="AL11">
        <f t="shared" si="6"/>
        <v>305.45380620398049</v>
      </c>
      <c r="AM11">
        <f t="shared" si="6"/>
        <v>303.48831288625382</v>
      </c>
      <c r="AN11">
        <f t="shared" si="6"/>
        <v>301.41033113283248</v>
      </c>
      <c r="AO11">
        <f t="shared" si="6"/>
        <v>299.17069012301971</v>
      </c>
      <c r="AP11">
        <f t="shared" si="6"/>
        <v>296.65625</v>
      </c>
      <c r="AQ11">
        <f t="shared" si="6"/>
        <v>293.16602665464836</v>
      </c>
      <c r="AR11">
        <f t="shared" si="6"/>
        <v>293.16602665464836</v>
      </c>
      <c r="AS11">
        <f t="shared" si="6"/>
        <v>293.16602665464836</v>
      </c>
    </row>
    <row r="12" spans="1:55" x14ac:dyDescent="0.25">
      <c r="A12" s="16"/>
      <c r="B12" s="13"/>
      <c r="E12" s="16"/>
      <c r="F12" s="18"/>
      <c r="I12" s="16"/>
    </row>
    <row r="13" spans="1:55" ht="30" x14ac:dyDescent="0.25">
      <c r="A13" s="16" t="s">
        <v>73</v>
      </c>
      <c r="B13" s="13">
        <v>8</v>
      </c>
      <c r="C13" t="s">
        <v>43</v>
      </c>
      <c r="E13" s="17" t="s">
        <v>74</v>
      </c>
      <c r="F13" s="18">
        <f>B13+273.15</f>
        <v>281.14999999999998</v>
      </c>
      <c r="G13" t="s">
        <v>53</v>
      </c>
      <c r="I13" s="16" t="s">
        <v>46</v>
      </c>
      <c r="M13" s="6">
        <f>M$11/(M$11-$F$13)*$B$14</f>
        <v>2.8866814449500873</v>
      </c>
      <c r="N13" s="6">
        <f t="shared" ref="N13:AS13" si="7">N$11/(N$11-$F$13)*$B$14</f>
        <v>2.9375149148650386</v>
      </c>
      <c r="O13" s="6">
        <f t="shared" si="7"/>
        <v>2.9909931245656627</v>
      </c>
      <c r="P13" s="6">
        <f t="shared" si="7"/>
        <v>3.0473419440830751</v>
      </c>
      <c r="Q13" s="6">
        <f t="shared" si="7"/>
        <v>3.1068147190581645</v>
      </c>
      <c r="R13" s="6">
        <f t="shared" si="7"/>
        <v>3.1696966931723196</v>
      </c>
      <c r="S13" s="6">
        <f t="shared" si="7"/>
        <v>3.2363103312222705</v>
      </c>
      <c r="T13" s="6">
        <f t="shared" si="7"/>
        <v>3.3070217681029606</v>
      </c>
      <c r="U13" s="6">
        <f t="shared" si="7"/>
        <v>3.3822486767243172</v>
      </c>
      <c r="V13" s="6">
        <f t="shared" si="7"/>
        <v>3.4624699397934364</v>
      </c>
      <c r="W13" s="6">
        <f t="shared" si="7"/>
        <v>3.548237636518643</v>
      </c>
      <c r="X13" s="6">
        <f t="shared" si="7"/>
        <v>3.6401920305930062</v>
      </c>
      <c r="Y13" s="6">
        <f t="shared" si="7"/>
        <v>3.7390804928622297</v>
      </c>
      <c r="Z13" s="6">
        <f t="shared" si="7"/>
        <v>3.8457816455407472</v>
      </c>
      <c r="AA13" s="6">
        <f t="shared" si="7"/>
        <v>3.9613365290011409</v>
      </c>
      <c r="AB13" s="6">
        <f t="shared" si="7"/>
        <v>4.0869893538861835</v>
      </c>
      <c r="AC13" s="6">
        <f t="shared" si="7"/>
        <v>4.2242415528829396</v>
      </c>
      <c r="AD13" s="6">
        <f t="shared" si="7"/>
        <v>4.3749246273063278</v>
      </c>
      <c r="AE13" s="6">
        <f t="shared" si="7"/>
        <v>4.54130010832748</v>
      </c>
      <c r="AF13" s="6">
        <f t="shared" si="7"/>
        <v>4.7261995640075174</v>
      </c>
      <c r="AG13" s="6">
        <f t="shared" si="7"/>
        <v>4.9332253633509557</v>
      </c>
      <c r="AH13" s="6">
        <f t="shared" si="7"/>
        <v>5.1670465445498168</v>
      </c>
      <c r="AI13" s="6">
        <f t="shared" si="7"/>
        <v>5.4338491260853905</v>
      </c>
      <c r="AJ13" s="6">
        <f t="shared" si="7"/>
        <v>5.7420485087891828</v>
      </c>
      <c r="AK13" s="6">
        <f t="shared" si="7"/>
        <v>6.1034712551067507</v>
      </c>
      <c r="AL13" s="6">
        <f t="shared" si="7"/>
        <v>6.5354363795106076</v>
      </c>
      <c r="AM13" s="6">
        <f t="shared" si="7"/>
        <v>7.0647198606464467</v>
      </c>
      <c r="AN13" s="6">
        <f t="shared" si="7"/>
        <v>7.7359728802794114</v>
      </c>
      <c r="AO13" s="6">
        <f t="shared" si="7"/>
        <v>8.632785859030216</v>
      </c>
      <c r="AP13" s="6">
        <f t="shared" si="7"/>
        <v>9.9483272873841049</v>
      </c>
      <c r="AQ13" s="6">
        <f t="shared" si="7"/>
        <v>12.686917085145071</v>
      </c>
      <c r="AR13" s="6">
        <f t="shared" si="7"/>
        <v>12.686917085145071</v>
      </c>
      <c r="AS13" s="6">
        <f t="shared" si="7"/>
        <v>12.686917085145071</v>
      </c>
    </row>
    <row r="14" spans="1:55" x14ac:dyDescent="0.25">
      <c r="A14" s="16" t="s">
        <v>75</v>
      </c>
      <c r="B14" s="14">
        <v>0.52</v>
      </c>
      <c r="C14" t="s">
        <v>45</v>
      </c>
      <c r="E14" s="16" t="s">
        <v>79</v>
      </c>
      <c r="F14" s="20">
        <f>K9/K15</f>
        <v>4.0167798668747015</v>
      </c>
      <c r="I14" s="16" t="s">
        <v>77</v>
      </c>
      <c r="J14" t="s">
        <v>50</v>
      </c>
      <c r="M14">
        <f>M8/M13</f>
        <v>634.53163684251786</v>
      </c>
      <c r="N14">
        <f t="shared" ref="N14:AS14" si="8">N8/N13</f>
        <v>602.76607843023783</v>
      </c>
      <c r="O14">
        <f t="shared" si="8"/>
        <v>571.57536564655913</v>
      </c>
      <c r="P14">
        <f t="shared" si="8"/>
        <v>540.97034803635142</v>
      </c>
      <c r="Q14">
        <f t="shared" si="8"/>
        <v>510.96232601024417</v>
      </c>
      <c r="R14">
        <f t="shared" si="8"/>
        <v>481.56308516118014</v>
      </c>
      <c r="S14">
        <f t="shared" si="8"/>
        <v>452.78493465497081</v>
      </c>
      <c r="T14">
        <f t="shared" si="8"/>
        <v>424.64075037149604</v>
      </c>
      <c r="U14">
        <f t="shared" si="8"/>
        <v>397.14402362024441</v>
      </c>
      <c r="V14">
        <f t="shared" si="8"/>
        <v>370.3089164411532</v>
      </c>
      <c r="W14">
        <f t="shared" si="8"/>
        <v>344.15032474248608</v>
      </c>
      <c r="X14">
        <f t="shared" si="8"/>
        <v>318.68395084059637</v>
      </c>
      <c r="Y14">
        <f t="shared" si="8"/>
        <v>293.92638737845874</v>
      </c>
      <c r="Z14">
        <f t="shared" si="8"/>
        <v>269.89521514936314</v>
      </c>
      <c r="AA14">
        <f t="shared" si="8"/>
        <v>246.60911809566696</v>
      </c>
      <c r="AB14">
        <f t="shared" si="8"/>
        <v>224.08801977492419</v>
      </c>
      <c r="AC14">
        <f t="shared" si="8"/>
        <v>202.35324701699631</v>
      </c>
      <c r="AD14">
        <f t="shared" si="8"/>
        <v>181.42772854011849</v>
      </c>
      <c r="AE14">
        <f t="shared" si="8"/>
        <v>161.33623928075508</v>
      </c>
      <c r="AF14">
        <f t="shared" si="8"/>
        <v>142.10570566973269</v>
      </c>
      <c r="AG14">
        <f t="shared" si="8"/>
        <v>123.76559400095358</v>
      </c>
      <c r="AH14">
        <f t="shared" si="8"/>
        <v>106.34841508670932</v>
      </c>
      <c r="AI14">
        <f t="shared" si="8"/>
        <v>89.890396773023156</v>
      </c>
      <c r="AJ14">
        <f t="shared" si="8"/>
        <v>74.432407972658325</v>
      </c>
      <c r="AK14">
        <f t="shared" si="8"/>
        <v>60.021277261674157</v>
      </c>
      <c r="AL14">
        <f t="shared" si="8"/>
        <v>46.711767354196311</v>
      </c>
      <c r="AM14">
        <f t="shared" si="8"/>
        <v>34.569725593044673</v>
      </c>
      <c r="AN14">
        <f t="shared" si="8"/>
        <v>23.677573986543571</v>
      </c>
      <c r="AO14">
        <f t="shared" si="8"/>
        <v>14.145226753123474</v>
      </c>
      <c r="AP14">
        <f t="shared" si="8"/>
        <v>6.1373490215785589</v>
      </c>
      <c r="AQ14">
        <f t="shared" si="8"/>
        <v>4.8125447919207063E-3</v>
      </c>
      <c r="AR14">
        <f t="shared" si="8"/>
        <v>4.8125447919207063E-3</v>
      </c>
      <c r="AS14">
        <f t="shared" si="8"/>
        <v>4.8125447919207063E-3</v>
      </c>
    </row>
    <row r="15" spans="1:55" ht="30" customHeight="1" x14ac:dyDescent="0.25">
      <c r="A15" s="16"/>
      <c r="B15" s="14"/>
      <c r="E15" s="17" t="s">
        <v>80</v>
      </c>
      <c r="F15" s="20">
        <f>K15</f>
        <v>50009.11355283147</v>
      </c>
      <c r="G15" t="s">
        <v>50</v>
      </c>
      <c r="I15" s="17" t="s">
        <v>78</v>
      </c>
      <c r="J15" t="s">
        <v>50</v>
      </c>
      <c r="K15">
        <f>SUM(M15:BC15)</f>
        <v>50009.11355283147</v>
      </c>
      <c r="M15">
        <f>M14*M4</f>
        <v>368.6217962232609</v>
      </c>
      <c r="N15">
        <f t="shared" ref="N15:AS15" si="9">N14*N4</f>
        <v>350.1680635485011</v>
      </c>
      <c r="O15">
        <f t="shared" si="9"/>
        <v>379.48374738712857</v>
      </c>
      <c r="P15">
        <f t="shared" si="9"/>
        <v>448.9553505029329</v>
      </c>
      <c r="Q15">
        <f t="shared" si="9"/>
        <v>551.26690825205844</v>
      </c>
      <c r="R15">
        <f t="shared" si="9"/>
        <v>639.44450773714698</v>
      </c>
      <c r="S15">
        <f t="shared" si="9"/>
        <v>1315.1936501219013</v>
      </c>
      <c r="T15">
        <f t="shared" si="9"/>
        <v>1409.6501785199671</v>
      </c>
      <c r="U15">
        <f t="shared" si="9"/>
        <v>2109.3939507393802</v>
      </c>
      <c r="V15">
        <f t="shared" si="9"/>
        <v>2919.5604062170505</v>
      </c>
      <c r="W15">
        <f t="shared" si="9"/>
        <v>3741.5294683527259</v>
      </c>
      <c r="X15">
        <f t="shared" si="9"/>
        <v>4046.5164867912149</v>
      </c>
      <c r="Y15">
        <f t="shared" si="9"/>
        <v>4537.1298820460006</v>
      </c>
      <c r="Z15">
        <f t="shared" si="9"/>
        <v>4233.3744088445956</v>
      </c>
      <c r="AA15">
        <f t="shared" si="9"/>
        <v>3622.5308043801065</v>
      </c>
      <c r="AB15">
        <f t="shared" si="9"/>
        <v>3589.2659467494841</v>
      </c>
      <c r="AC15">
        <f t="shared" si="9"/>
        <v>2854.8861237675392</v>
      </c>
      <c r="AD15">
        <f t="shared" si="9"/>
        <v>3041.4783084091882</v>
      </c>
      <c r="AE15">
        <f t="shared" si="9"/>
        <v>2262.8112265207033</v>
      </c>
      <c r="AF15">
        <f t="shared" si="9"/>
        <v>1733.6384920104249</v>
      </c>
      <c r="AG15">
        <f t="shared" si="9"/>
        <v>1489.3529278095202</v>
      </c>
      <c r="AH15">
        <f t="shared" si="9"/>
        <v>1341.5420830156927</v>
      </c>
      <c r="AI15">
        <f t="shared" si="9"/>
        <v>1044.4100056721745</v>
      </c>
      <c r="AJ15">
        <f t="shared" si="9"/>
        <v>765.97297125408761</v>
      </c>
      <c r="AK15">
        <f t="shared" si="9"/>
        <v>587.78287809646588</v>
      </c>
      <c r="AL15">
        <f t="shared" si="9"/>
        <v>345.02137105115122</v>
      </c>
      <c r="AM15">
        <f t="shared" si="9"/>
        <v>186.48288510430882</v>
      </c>
      <c r="AN15">
        <f t="shared" si="9"/>
        <v>62.880628141036382</v>
      </c>
      <c r="AO15">
        <f t="shared" si="9"/>
        <v>24.652382596720564</v>
      </c>
      <c r="AP15">
        <f>AP14*AP4</f>
        <v>6.1121183986738128</v>
      </c>
      <c r="AQ15">
        <f t="shared" si="9"/>
        <v>1.9969835146330778E-3</v>
      </c>
      <c r="AR15">
        <f>AR14*AR4</f>
        <v>7.9879340585323113E-4</v>
      </c>
      <c r="AS15">
        <f t="shared" si="9"/>
        <v>7.9879340585323113E-4</v>
      </c>
    </row>
    <row r="16" spans="1:55" ht="30" customHeight="1" x14ac:dyDescent="0.25">
      <c r="A16" s="16"/>
      <c r="B16" s="14"/>
      <c r="E16" s="17"/>
      <c r="F16" s="20"/>
      <c r="I16" s="17"/>
    </row>
    <row r="17" spans="1:45" ht="30" customHeight="1" x14ac:dyDescent="0.25">
      <c r="A17" s="16" t="s">
        <v>101</v>
      </c>
      <c r="B17" s="14">
        <v>0.42</v>
      </c>
      <c r="E17" s="16" t="s">
        <v>105</v>
      </c>
      <c r="F17" s="20">
        <f>K9/K19</f>
        <v>2.9772990333287495</v>
      </c>
      <c r="I17" s="16" t="s">
        <v>102</v>
      </c>
      <c r="M17">
        <f>M$11/(M$11-M6)*$B$17</f>
        <v>1.805461523929508</v>
      </c>
      <c r="N17">
        <f t="shared" ref="N17:AS17" si="10">N$11/(N$11-N6)*$B$17</f>
        <v>1.8519937965085669</v>
      </c>
      <c r="O17">
        <f t="shared" si="10"/>
        <v>1.9015670276506991</v>
      </c>
      <c r="P17">
        <f t="shared" si="10"/>
        <v>1.954499675937754</v>
      </c>
      <c r="Q17">
        <f t="shared" si="10"/>
        <v>2.0111570217386934</v>
      </c>
      <c r="R17">
        <f t="shared" si="10"/>
        <v>2.0719601896262652</v>
      </c>
      <c r="S17">
        <f t="shared" si="10"/>
        <v>2.1373973557140378</v>
      </c>
      <c r="T17">
        <f t="shared" si="10"/>
        <v>2.2080377864927154</v>
      </c>
      <c r="U17">
        <f t="shared" si="10"/>
        <v>2.2845495850001951</v>
      </c>
      <c r="V17">
        <f t="shared" si="10"/>
        <v>2.3677223454219409</v>
      </c>
      <c r="W17">
        <f t="shared" si="10"/>
        <v>2.4584963854716748</v>
      </c>
      <c r="X17">
        <f t="shared" si="10"/>
        <v>2.5580009107909594</v>
      </c>
      <c r="Y17">
        <f t="shared" si="10"/>
        <v>2.6676044848707585</v>
      </c>
      <c r="Z17">
        <f t="shared" si="10"/>
        <v>2.7889827240060727</v>
      </c>
      <c r="AA17">
        <f t="shared" si="10"/>
        <v>2.9242105314227418</v>
      </c>
      <c r="AB17">
        <f t="shared" si="10"/>
        <v>3.0758899809034261</v>
      </c>
      <c r="AC17">
        <f t="shared" si="10"/>
        <v>3.2473311360538037</v>
      </c>
      <c r="AD17">
        <f t="shared" si="10"/>
        <v>3.4428134343221086</v>
      </c>
      <c r="AE17">
        <f t="shared" si="10"/>
        <v>3.6679731644183491</v>
      </c>
      <c r="AF17">
        <f t="shared" si="10"/>
        <v>3.9303947228155218</v>
      </c>
      <c r="AG17">
        <f t="shared" si="10"/>
        <v>4.2405436472266782</v>
      </c>
      <c r="AH17">
        <f t="shared" si="10"/>
        <v>4.6132983607050067</v>
      </c>
      <c r="AI17">
        <f t="shared" si="10"/>
        <v>5.0705864161989949</v>
      </c>
      <c r="AJ17">
        <f t="shared" si="10"/>
        <v>5.6461901564901815</v>
      </c>
      <c r="AK17">
        <f t="shared" si="10"/>
        <v>6.3951577526288101</v>
      </c>
      <c r="AL17">
        <f t="shared" si="10"/>
        <v>7.414010368202125</v>
      </c>
      <c r="AM17">
        <f t="shared" si="10"/>
        <v>8.889824934314797</v>
      </c>
      <c r="AN17">
        <f t="shared" si="10"/>
        <v>11.242328274581183</v>
      </c>
      <c r="AO17">
        <f t="shared" si="10"/>
        <v>15.665944940453739</v>
      </c>
      <c r="AP17">
        <f t="shared" si="10"/>
        <v>27.649514563106656</v>
      </c>
      <c r="AQ17">
        <f t="shared" si="10"/>
        <v>7231.586811258876</v>
      </c>
      <c r="AR17">
        <f>AR$11/(AR$11-AR6)*$B$17</f>
        <v>7231.586811258876</v>
      </c>
      <c r="AS17">
        <f t="shared" si="10"/>
        <v>7231.586811258876</v>
      </c>
    </row>
    <row r="18" spans="1:45" ht="30" customHeight="1" x14ac:dyDescent="0.25">
      <c r="A18" s="16"/>
      <c r="B18" s="14"/>
      <c r="E18" s="17" t="s">
        <v>103</v>
      </c>
      <c r="F18" s="20">
        <f>K19</f>
        <v>67469.071205345666</v>
      </c>
      <c r="G18" t="s">
        <v>50</v>
      </c>
      <c r="I18" s="16" t="s">
        <v>77</v>
      </c>
      <c r="J18" t="s">
        <v>50</v>
      </c>
      <c r="M18">
        <f>M8/M17</f>
        <v>1014.5276861511337</v>
      </c>
      <c r="N18">
        <f t="shared" ref="N18:AS18" si="11">N8/N17</f>
        <v>956.06926378564833</v>
      </c>
      <c r="O18">
        <f t="shared" si="11"/>
        <v>899.03640732142389</v>
      </c>
      <c r="P18">
        <f t="shared" si="11"/>
        <v>843.44942717140384</v>
      </c>
      <c r="Q18">
        <f t="shared" si="11"/>
        <v>789.329355278496</v>
      </c>
      <c r="R18">
        <f t="shared" si="11"/>
        <v>736.6979955655338</v>
      </c>
      <c r="S18">
        <f t="shared" si="11"/>
        <v>685.57798012066598</v>
      </c>
      <c r="T18">
        <f t="shared" si="11"/>
        <v>635.99283204873075</v>
      </c>
      <c r="U18">
        <f t="shared" si="11"/>
        <v>587.96703611860005</v>
      </c>
      <c r="V18">
        <f t="shared" si="11"/>
        <v>541.52611858992293</v>
      </c>
      <c r="W18">
        <f t="shared" si="11"/>
        <v>496.69673792793594</v>
      </c>
      <c r="X18">
        <f t="shared" si="11"/>
        <v>453.50678853711855</v>
      </c>
      <c r="Y18">
        <f t="shared" si="11"/>
        <v>411.98552019884897</v>
      </c>
      <c r="Z18">
        <f t="shared" si="11"/>
        <v>372.16367663610947</v>
      </c>
      <c r="AA18">
        <f t="shared" si="11"/>
        <v>334.07365762472006</v>
      </c>
      <c r="AB18">
        <f t="shared" si="11"/>
        <v>297.74971043813372</v>
      </c>
      <c r="AC18">
        <f t="shared" si="11"/>
        <v>263.2281583234938</v>
      </c>
      <c r="AD18">
        <f t="shared" si="11"/>
        <v>230.54767643042436</v>
      </c>
      <c r="AE18">
        <f t="shared" si="11"/>
        <v>199.74962958569679</v>
      </c>
      <c r="AF18">
        <f t="shared" si="11"/>
        <v>170.87849224928715</v>
      </c>
      <c r="AG18">
        <f t="shared" si="11"/>
        <v>143.98238014482189</v>
      </c>
      <c r="AH18">
        <f t="shared" si="11"/>
        <v>119.11373766169224</v>
      </c>
      <c r="AI18">
        <f t="shared" si="11"/>
        <v>96.330249374728666</v>
      </c>
      <c r="AJ18">
        <f t="shared" si="11"/>
        <v>75.696086273982374</v>
      </c>
      <c r="AK18">
        <f t="shared" si="11"/>
        <v>57.283675341836997</v>
      </c>
      <c r="AL18">
        <f t="shared" si="11"/>
        <v>41.17633622784917</v>
      </c>
      <c r="AM18">
        <f t="shared" si="11"/>
        <v>27.472467543378531</v>
      </c>
      <c r="AN18">
        <f t="shared" si="11"/>
        <v>16.29280570332163</v>
      </c>
      <c r="AO18">
        <f t="shared" si="11"/>
        <v>7.7947876078519798</v>
      </c>
      <c r="AP18">
        <f t="shared" si="11"/>
        <v>2.2082252693520679</v>
      </c>
      <c r="AQ18">
        <f t="shared" si="11"/>
        <v>8.4430095824316096E-6</v>
      </c>
      <c r="AR18">
        <f t="shared" si="11"/>
        <v>8.4430095824316096E-6</v>
      </c>
      <c r="AS18">
        <f t="shared" si="11"/>
        <v>8.4430095824316096E-6</v>
      </c>
    </row>
    <row r="19" spans="1:45" x14ac:dyDescent="0.25">
      <c r="A19" s="16"/>
      <c r="B19" s="14"/>
      <c r="E19" s="16"/>
      <c r="F19" s="20"/>
      <c r="I19" s="17" t="s">
        <v>78</v>
      </c>
      <c r="J19" t="s">
        <v>50</v>
      </c>
      <c r="K19">
        <f>SUM(M19:AS19)</f>
        <v>67469.071205345666</v>
      </c>
      <c r="M19">
        <f>M18*M4</f>
        <v>589.37489681081991</v>
      </c>
      <c r="N19">
        <f t="shared" ref="N19:AS19" si="12">N18*N4</f>
        <v>555.41433849418002</v>
      </c>
      <c r="O19">
        <f t="shared" si="12"/>
        <v>596.89364761524985</v>
      </c>
      <c r="P19">
        <f t="shared" si="12"/>
        <v>699.98500764738799</v>
      </c>
      <c r="Q19">
        <f t="shared" si="12"/>
        <v>851.59146012702945</v>
      </c>
      <c r="R19">
        <f t="shared" si="12"/>
        <v>978.22590983624718</v>
      </c>
      <c r="S19">
        <f t="shared" si="12"/>
        <v>1991.3820825447383</v>
      </c>
      <c r="T19">
        <f t="shared" si="12"/>
        <v>2111.2608915903329</v>
      </c>
      <c r="U19">
        <f t="shared" si="12"/>
        <v>3122.9328290451344</v>
      </c>
      <c r="V19">
        <f t="shared" si="12"/>
        <v>4269.4575922229569</v>
      </c>
      <c r="W19">
        <f t="shared" si="12"/>
        <v>5399.9817759364714</v>
      </c>
      <c r="X19">
        <f t="shared" si="12"/>
        <v>5758.4408999783727</v>
      </c>
      <c r="Y19">
        <f t="shared" si="12"/>
        <v>6359.5236594312519</v>
      </c>
      <c r="Z19">
        <f t="shared" si="12"/>
        <v>5837.4809783156652</v>
      </c>
      <c r="AA19">
        <f t="shared" si="12"/>
        <v>4907.3291572617854</v>
      </c>
      <c r="AB19">
        <f t="shared" si="12"/>
        <v>4769.1210686029826</v>
      </c>
      <c r="AC19">
        <f t="shared" si="12"/>
        <v>3713.7353991631649</v>
      </c>
      <c r="AD19">
        <f t="shared" si="12"/>
        <v>3864.9315766648137</v>
      </c>
      <c r="AE19">
        <f t="shared" si="12"/>
        <v>2801.5758042637281</v>
      </c>
      <c r="AF19">
        <f t="shared" si="12"/>
        <v>2084.6561383577591</v>
      </c>
      <c r="AG19">
        <f t="shared" si="12"/>
        <v>1732.6348340397542</v>
      </c>
      <c r="AH19">
        <f t="shared" si="12"/>
        <v>1502.5714450766793</v>
      </c>
      <c r="AI19">
        <f t="shared" si="12"/>
        <v>1119.2327535265226</v>
      </c>
      <c r="AJ19">
        <f t="shared" si="12"/>
        <v>778.97729893256417</v>
      </c>
      <c r="AK19">
        <f t="shared" si="12"/>
        <v>560.97379290307595</v>
      </c>
      <c r="AL19">
        <f t="shared" si="12"/>
        <v>304.13569823791863</v>
      </c>
      <c r="AM19">
        <f t="shared" si="12"/>
        <v>148.19744503423172</v>
      </c>
      <c r="AN19">
        <f t="shared" si="12"/>
        <v>43.268869411493284</v>
      </c>
      <c r="AO19">
        <f t="shared" si="12"/>
        <v>13.58480070505137</v>
      </c>
      <c r="AP19">
        <f t="shared" si="12"/>
        <v>2.1991472620782657</v>
      </c>
      <c r="AQ19">
        <f t="shared" si="12"/>
        <v>3.5034584983625509E-6</v>
      </c>
      <c r="AR19">
        <f t="shared" si="12"/>
        <v>1.4013833993450203E-6</v>
      </c>
      <c r="AS19">
        <f t="shared" si="12"/>
        <v>1.4013833993450203E-6</v>
      </c>
    </row>
    <row r="20" spans="1:45" x14ac:dyDescent="0.25">
      <c r="A20" s="16"/>
      <c r="B20" s="13"/>
      <c r="E20" s="16"/>
      <c r="F20" s="20"/>
      <c r="I20" s="16"/>
    </row>
    <row r="21" spans="1:45" x14ac:dyDescent="0.25">
      <c r="A21" s="16" t="s">
        <v>71</v>
      </c>
      <c r="B21" s="14">
        <v>0.9</v>
      </c>
      <c r="C21" t="s">
        <v>45</v>
      </c>
      <c r="E21" s="17" t="s">
        <v>67</v>
      </c>
      <c r="F21" s="20">
        <f>$B$4/$B$22/$B$21</f>
        <v>44800</v>
      </c>
      <c r="G21" t="s">
        <v>64</v>
      </c>
      <c r="I21" s="16" t="s">
        <v>63</v>
      </c>
      <c r="J21" t="s">
        <v>64</v>
      </c>
      <c r="M21">
        <f t="shared" ref="M21:AS21" si="13">M8/$B$21/$B$22</f>
        <v>407.04237829046741</v>
      </c>
      <c r="N21">
        <f t="shared" si="13"/>
        <v>393.47429901411851</v>
      </c>
      <c r="O21">
        <f t="shared" si="13"/>
        <v>379.90621973776956</v>
      </c>
      <c r="P21">
        <f t="shared" si="13"/>
        <v>366.33814046142066</v>
      </c>
      <c r="Q21">
        <f t="shared" si="13"/>
        <v>352.77006118507177</v>
      </c>
      <c r="R21">
        <f t="shared" si="13"/>
        <v>339.20198190872281</v>
      </c>
      <c r="S21">
        <f t="shared" si="13"/>
        <v>325.63390263237392</v>
      </c>
      <c r="T21">
        <f t="shared" si="13"/>
        <v>312.06582335602502</v>
      </c>
      <c r="U21">
        <f t="shared" si="13"/>
        <v>298.49774407967612</v>
      </c>
      <c r="V21">
        <f t="shared" si="13"/>
        <v>284.92966480332723</v>
      </c>
      <c r="W21">
        <f t="shared" si="13"/>
        <v>271.36158552697827</v>
      </c>
      <c r="X21">
        <f t="shared" si="13"/>
        <v>257.79350625062938</v>
      </c>
      <c r="Y21">
        <f t="shared" si="13"/>
        <v>244.22542697428042</v>
      </c>
      <c r="Z21">
        <f t="shared" si="13"/>
        <v>230.65734769793153</v>
      </c>
      <c r="AA21">
        <f t="shared" si="13"/>
        <v>217.08926842158263</v>
      </c>
      <c r="AB21">
        <f t="shared" si="13"/>
        <v>203.52118914523371</v>
      </c>
      <c r="AC21">
        <f t="shared" si="13"/>
        <v>189.95310986888478</v>
      </c>
      <c r="AD21">
        <f t="shared" si="13"/>
        <v>176.38503059253588</v>
      </c>
      <c r="AE21">
        <f t="shared" si="13"/>
        <v>162.81695131618696</v>
      </c>
      <c r="AF21">
        <f t="shared" si="13"/>
        <v>149.24887203983806</v>
      </c>
      <c r="AG21">
        <f t="shared" si="13"/>
        <v>135.68079276348914</v>
      </c>
      <c r="AH21">
        <f t="shared" si="13"/>
        <v>122.11271348714021</v>
      </c>
      <c r="AI21">
        <f t="shared" si="13"/>
        <v>108.54463421079132</v>
      </c>
      <c r="AJ21">
        <f t="shared" si="13"/>
        <v>94.97655493444239</v>
      </c>
      <c r="AK21">
        <f t="shared" si="13"/>
        <v>81.408475658093479</v>
      </c>
      <c r="AL21">
        <f t="shared" si="13"/>
        <v>67.840396381744569</v>
      </c>
      <c r="AM21">
        <f t="shared" si="13"/>
        <v>54.272317105395658</v>
      </c>
      <c r="AN21">
        <f t="shared" si="13"/>
        <v>40.70423782904674</v>
      </c>
      <c r="AO21">
        <f t="shared" si="13"/>
        <v>27.136158552697829</v>
      </c>
      <c r="AP21">
        <f t="shared" si="13"/>
        <v>13.568079276348914</v>
      </c>
      <c r="AQ21">
        <f t="shared" si="13"/>
        <v>1.3568079276365497E-2</v>
      </c>
      <c r="AR21">
        <f t="shared" si="13"/>
        <v>1.3568079276365497E-2</v>
      </c>
      <c r="AS21">
        <f t="shared" si="13"/>
        <v>1.3568079276365497E-2</v>
      </c>
    </row>
    <row r="22" spans="1:45" ht="30" x14ac:dyDescent="0.25">
      <c r="A22" s="16" t="s">
        <v>65</v>
      </c>
      <c r="B22" s="13">
        <v>5</v>
      </c>
      <c r="C22" t="s">
        <v>66</v>
      </c>
      <c r="E22" s="16" t="s">
        <v>68</v>
      </c>
      <c r="F22" s="20">
        <f>F21/$B$23</f>
        <v>68.92307692307692</v>
      </c>
      <c r="G22" t="s">
        <v>72</v>
      </c>
      <c r="I22" s="17" t="s">
        <v>104</v>
      </c>
      <c r="J22" t="s">
        <v>64</v>
      </c>
      <c r="K22">
        <f>SUM(M22:BC22)</f>
        <v>44639.02232872539</v>
      </c>
      <c r="M22">
        <f t="shared" ref="M22:AS22" si="14">M21*M4</f>
        <v>236.46526652485761</v>
      </c>
      <c r="N22">
        <f t="shared" si="14"/>
        <v>228.58309097402903</v>
      </c>
      <c r="O22">
        <f t="shared" si="14"/>
        <v>252.22961762651428</v>
      </c>
      <c r="P22">
        <f t="shared" si="14"/>
        <v>304.0267712462458</v>
      </c>
      <c r="Q22">
        <f t="shared" si="14"/>
        <v>380.59647659715154</v>
      </c>
      <c r="R22">
        <f t="shared" si="14"/>
        <v>450.4100314759192</v>
      </c>
      <c r="S22">
        <f t="shared" si="14"/>
        <v>945.86106609943056</v>
      </c>
      <c r="T22">
        <f t="shared" si="14"/>
        <v>1035.9430723946123</v>
      </c>
      <c r="U22">
        <f t="shared" si="14"/>
        <v>1585.4433107952329</v>
      </c>
      <c r="V22">
        <f t="shared" si="14"/>
        <v>2246.4200319861452</v>
      </c>
      <c r="W22">
        <f t="shared" si="14"/>
        <v>2950.1857061672736</v>
      </c>
      <c r="X22">
        <f t="shared" si="14"/>
        <v>3273.3549037512421</v>
      </c>
      <c r="Y22">
        <f t="shared" si="14"/>
        <v>3769.9319634534454</v>
      </c>
      <c r="Z22">
        <f t="shared" si="14"/>
        <v>3617.9185778303245</v>
      </c>
      <c r="AA22">
        <f t="shared" si="14"/>
        <v>3188.9030228495117</v>
      </c>
      <c r="AB22">
        <f t="shared" si="14"/>
        <v>3259.8426028069675</v>
      </c>
      <c r="AC22">
        <f t="shared" si="14"/>
        <v>2679.939687281721</v>
      </c>
      <c r="AD22">
        <f t="shared" si="14"/>
        <v>2956.9418566394106</v>
      </c>
      <c r="AE22">
        <f t="shared" si="14"/>
        <v>2283.5788595829131</v>
      </c>
      <c r="AF22">
        <f t="shared" si="14"/>
        <v>1820.7825522414046</v>
      </c>
      <c r="AG22">
        <f t="shared" si="14"/>
        <v>1632.7363641002066</v>
      </c>
      <c r="AH22">
        <f t="shared" si="14"/>
        <v>1540.4023076476437</v>
      </c>
      <c r="AI22">
        <f t="shared" si="14"/>
        <v>1261.1480881325742</v>
      </c>
      <c r="AJ22">
        <f t="shared" si="14"/>
        <v>977.38976830274498</v>
      </c>
      <c r="AK22">
        <f t="shared" si="14"/>
        <v>797.22575571237655</v>
      </c>
      <c r="AL22">
        <f t="shared" si="14"/>
        <v>501.08116001696044</v>
      </c>
      <c r="AM22">
        <f t="shared" si="14"/>
        <v>292.76652045934662</v>
      </c>
      <c r="AN22">
        <f t="shared" si="14"/>
        <v>108.09840755422042</v>
      </c>
      <c r="AO22">
        <f t="shared" si="14"/>
        <v>47.293053304971536</v>
      </c>
      <c r="AP22">
        <f t="shared" si="14"/>
        <v>13.512300944277586</v>
      </c>
      <c r="AQ22">
        <f t="shared" si="14"/>
        <v>5.630125393455877E-3</v>
      </c>
      <c r="AR22">
        <f t="shared" si="14"/>
        <v>2.2520501573823509E-3</v>
      </c>
      <c r="AS22">
        <f t="shared" si="14"/>
        <v>2.2520501573823509E-3</v>
      </c>
    </row>
    <row r="23" spans="1:45" x14ac:dyDescent="0.25">
      <c r="A23" s="16" t="s">
        <v>69</v>
      </c>
      <c r="B23" s="13">
        <v>650</v>
      </c>
      <c r="C23" t="s">
        <v>70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40D51-2A8D-41B3-AA2F-1887BCB27239}">
  <dimension ref="A1:BC23"/>
  <sheetViews>
    <sheetView zoomScale="55" zoomScaleNormal="55" workbookViewId="0">
      <selection activeCell="B15" sqref="B15"/>
    </sheetView>
  </sheetViews>
  <sheetFormatPr baseColWidth="10" defaultColWidth="9.140625" defaultRowHeight="15" x14ac:dyDescent="0.25"/>
  <cols>
    <col min="1" max="1" width="34.42578125" customWidth="1"/>
    <col min="2" max="2" width="12.28515625" customWidth="1"/>
    <col min="3" max="3" width="17.85546875" customWidth="1"/>
    <col min="4" max="4" width="13.7109375" customWidth="1"/>
    <col min="5" max="5" width="46.42578125" customWidth="1"/>
    <col min="6" max="6" width="11.7109375" customWidth="1"/>
    <col min="7" max="7" width="13.7109375" customWidth="1"/>
    <col min="9" max="9" width="53.42578125" customWidth="1"/>
    <col min="10" max="10" width="13.42578125" customWidth="1"/>
    <col min="11" max="11" width="21.140625" customWidth="1"/>
    <col min="13" max="55" width="15.7109375" customWidth="1"/>
  </cols>
  <sheetData>
    <row r="1" spans="1:55" ht="21" x14ac:dyDescent="0.35">
      <c r="A1" s="15" t="s">
        <v>39</v>
      </c>
      <c r="B1" s="15" t="s">
        <v>42</v>
      </c>
      <c r="C1" s="15" t="s">
        <v>34</v>
      </c>
      <c r="D1" s="15"/>
      <c r="E1" s="15" t="s">
        <v>58</v>
      </c>
      <c r="F1" s="15" t="s">
        <v>42</v>
      </c>
      <c r="G1" s="15" t="s">
        <v>34</v>
      </c>
      <c r="H1" s="15"/>
      <c r="I1" s="15" t="s">
        <v>33</v>
      </c>
      <c r="J1" s="15" t="s">
        <v>34</v>
      </c>
      <c r="K1" s="15" t="s">
        <v>35</v>
      </c>
    </row>
    <row r="2" spans="1:55" x14ac:dyDescent="0.25">
      <c r="A2" s="16" t="s">
        <v>41</v>
      </c>
      <c r="B2" s="13">
        <v>242.25</v>
      </c>
      <c r="C2" t="s">
        <v>44</v>
      </c>
      <c r="F2" s="18"/>
      <c r="I2" s="16" t="s">
        <v>36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13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t="s">
        <v>31</v>
      </c>
      <c r="AS2" t="s">
        <v>32</v>
      </c>
    </row>
    <row r="3" spans="1:55" x14ac:dyDescent="0.25">
      <c r="A3" s="16" t="s">
        <v>57</v>
      </c>
      <c r="B3" s="13">
        <v>7.56</v>
      </c>
      <c r="C3" t="s">
        <v>43</v>
      </c>
      <c r="F3" s="18"/>
      <c r="I3" s="16" t="s">
        <v>37</v>
      </c>
      <c r="J3" t="s">
        <v>45</v>
      </c>
      <c r="K3" s="3">
        <f>SUM(M3:BC3)</f>
        <v>0.99999999999999922</v>
      </c>
      <c r="M3" s="2">
        <v>0</v>
      </c>
      <c r="N3" s="2">
        <v>0</v>
      </c>
      <c r="O3" s="2">
        <v>4.11522633744856E-3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1.23456790123456E-2</v>
      </c>
      <c r="V3" s="2">
        <v>8.23045267489712E-3</v>
      </c>
      <c r="W3" s="2">
        <v>8.23045267489712E-3</v>
      </c>
      <c r="X3" s="2">
        <v>2.8806584362139901E-2</v>
      </c>
      <c r="Y3" s="2">
        <v>3.7037037037037E-2</v>
      </c>
      <c r="Z3" s="2">
        <v>0.11111111111111099</v>
      </c>
      <c r="AA3" s="2">
        <v>9.8765432098765399E-2</v>
      </c>
      <c r="AB3" s="2">
        <v>7.8189300411522597E-2</v>
      </c>
      <c r="AC3" s="2">
        <v>6.9958847736625501E-2</v>
      </c>
      <c r="AD3" s="2">
        <v>8.6419753086419707E-2</v>
      </c>
      <c r="AE3" s="2">
        <v>7.4074074074074001E-2</v>
      </c>
      <c r="AF3" s="2">
        <v>5.7613168724279802E-2</v>
      </c>
      <c r="AG3" s="2">
        <v>3.7037037037037E-2</v>
      </c>
      <c r="AH3" s="2">
        <v>4.9382716049382699E-2</v>
      </c>
      <c r="AI3" s="2">
        <v>4.9382716049382699E-2</v>
      </c>
      <c r="AJ3" s="2">
        <v>4.1152263374485597E-2</v>
      </c>
      <c r="AK3" s="2">
        <v>6.5843621399176905E-2</v>
      </c>
      <c r="AL3" s="2">
        <v>3.7037037037037E-2</v>
      </c>
      <c r="AM3" s="2">
        <v>2.0576131687242798E-2</v>
      </c>
      <c r="AN3" s="2">
        <v>1.6460905349794198E-2</v>
      </c>
      <c r="AO3" s="2">
        <v>0</v>
      </c>
      <c r="AP3" s="2">
        <v>8.23045267489712E-3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</row>
    <row r="4" spans="1:55" x14ac:dyDescent="0.25">
      <c r="A4" s="16" t="s">
        <v>49</v>
      </c>
      <c r="B4" s="13">
        <v>175700</v>
      </c>
      <c r="C4" t="s">
        <v>51</v>
      </c>
      <c r="F4" s="18"/>
      <c r="I4" s="16" t="s">
        <v>38</v>
      </c>
      <c r="J4" t="s">
        <v>44</v>
      </c>
      <c r="K4">
        <f>SUM(M4:BC4)</f>
        <v>242.2499999999998</v>
      </c>
      <c r="M4">
        <f t="shared" ref="M4:AS4" si="0">M3*$B$2</f>
        <v>0</v>
      </c>
      <c r="N4">
        <f t="shared" si="0"/>
        <v>0</v>
      </c>
      <c r="O4">
        <f t="shared" si="0"/>
        <v>0.99691358024691368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2.9907407407407218</v>
      </c>
      <c r="V4">
        <f t="shared" si="0"/>
        <v>1.9938271604938274</v>
      </c>
      <c r="W4">
        <f t="shared" si="0"/>
        <v>1.9938271604938274</v>
      </c>
      <c r="X4">
        <f t="shared" si="0"/>
        <v>6.9783950617283912</v>
      </c>
      <c r="Y4">
        <f t="shared" si="0"/>
        <v>8.9722222222222126</v>
      </c>
      <c r="Z4">
        <f t="shared" si="0"/>
        <v>26.916666666666639</v>
      </c>
      <c r="AA4">
        <f t="shared" si="0"/>
        <v>23.925925925925917</v>
      </c>
      <c r="AB4">
        <f t="shared" si="0"/>
        <v>18.94135802469135</v>
      </c>
      <c r="AC4">
        <f t="shared" si="0"/>
        <v>16.947530864197528</v>
      </c>
      <c r="AD4">
        <f t="shared" si="0"/>
        <v>20.935185185185173</v>
      </c>
      <c r="AE4">
        <f t="shared" si="0"/>
        <v>17.944444444444425</v>
      </c>
      <c r="AF4">
        <f t="shared" si="0"/>
        <v>13.956790123456782</v>
      </c>
      <c r="AG4">
        <f t="shared" si="0"/>
        <v>8.9722222222222126</v>
      </c>
      <c r="AH4">
        <f t="shared" si="0"/>
        <v>11.962962962962958</v>
      </c>
      <c r="AI4">
        <f t="shared" si="0"/>
        <v>11.962962962962958</v>
      </c>
      <c r="AJ4">
        <f t="shared" si="0"/>
        <v>9.9691358024691361</v>
      </c>
      <c r="AK4">
        <f t="shared" si="0"/>
        <v>15.950617283950605</v>
      </c>
      <c r="AL4">
        <f t="shared" si="0"/>
        <v>8.9722222222222126</v>
      </c>
      <c r="AM4">
        <f t="shared" si="0"/>
        <v>4.9845679012345681</v>
      </c>
      <c r="AN4">
        <f t="shared" si="0"/>
        <v>3.9876543209876445</v>
      </c>
      <c r="AO4">
        <f t="shared" si="0"/>
        <v>0</v>
      </c>
      <c r="AP4">
        <f t="shared" si="0"/>
        <v>1.9938271604938274</v>
      </c>
      <c r="AQ4">
        <f t="shared" si="0"/>
        <v>0</v>
      </c>
      <c r="AR4">
        <f t="shared" si="0"/>
        <v>0</v>
      </c>
      <c r="AS4">
        <f t="shared" si="0"/>
        <v>0</v>
      </c>
    </row>
    <row r="5" spans="1:55" ht="53.25" customHeight="1" x14ac:dyDescent="0.25">
      <c r="A5" s="16" t="s">
        <v>54</v>
      </c>
      <c r="B5" s="13">
        <v>20</v>
      </c>
      <c r="C5" t="s">
        <v>43</v>
      </c>
      <c r="E5" s="17" t="s">
        <v>59</v>
      </c>
      <c r="F5" s="19">
        <f>B4/B2/(20-B3)</f>
        <v>58.302556087589878</v>
      </c>
      <c r="G5" t="s">
        <v>60</v>
      </c>
      <c r="I5" s="17" t="s">
        <v>62</v>
      </c>
      <c r="J5" t="s">
        <v>43</v>
      </c>
      <c r="M5">
        <v>-10</v>
      </c>
      <c r="N5">
        <v>-9</v>
      </c>
      <c r="O5">
        <v>-8</v>
      </c>
      <c r="P5">
        <v>-7</v>
      </c>
      <c r="Q5">
        <v>-6</v>
      </c>
      <c r="R5">
        <v>-5</v>
      </c>
      <c r="S5">
        <v>-4</v>
      </c>
      <c r="T5">
        <v>-3</v>
      </c>
      <c r="U5">
        <v>-2</v>
      </c>
      <c r="V5">
        <v>-1</v>
      </c>
      <c r="W5">
        <v>0</v>
      </c>
      <c r="X5">
        <v>1</v>
      </c>
      <c r="Y5">
        <v>2</v>
      </c>
      <c r="Z5">
        <v>3</v>
      </c>
      <c r="AA5">
        <v>4</v>
      </c>
      <c r="AB5">
        <v>5</v>
      </c>
      <c r="AC5">
        <v>6</v>
      </c>
      <c r="AD5">
        <v>7</v>
      </c>
      <c r="AE5">
        <v>8</v>
      </c>
      <c r="AF5">
        <v>9</v>
      </c>
      <c r="AG5">
        <v>10</v>
      </c>
      <c r="AH5">
        <v>11</v>
      </c>
      <c r="AI5">
        <v>12</v>
      </c>
      <c r="AJ5">
        <v>13</v>
      </c>
      <c r="AK5">
        <v>14</v>
      </c>
      <c r="AL5">
        <v>15</v>
      </c>
      <c r="AM5">
        <v>16</v>
      </c>
      <c r="AN5">
        <v>17</v>
      </c>
      <c r="AO5">
        <v>18</v>
      </c>
      <c r="AP5">
        <v>19</v>
      </c>
      <c r="AQ5">
        <v>19.998999999999999</v>
      </c>
      <c r="AR5">
        <v>19.998999999999999</v>
      </c>
      <c r="AS5">
        <v>19.998999999999999</v>
      </c>
    </row>
    <row r="6" spans="1:55" ht="30" x14ac:dyDescent="0.25">
      <c r="A6" s="17" t="s">
        <v>55</v>
      </c>
      <c r="B6" s="13">
        <f>B5</f>
        <v>20</v>
      </c>
      <c r="C6" t="s">
        <v>43</v>
      </c>
      <c r="E6" s="16"/>
      <c r="F6" s="18"/>
      <c r="I6" s="16" t="s">
        <v>40</v>
      </c>
      <c r="J6" t="s">
        <v>53</v>
      </c>
      <c r="M6">
        <f>M5+273.15</f>
        <v>263.14999999999998</v>
      </c>
      <c r="N6">
        <f t="shared" ref="N6:AS6" si="1">N5+273.15</f>
        <v>264.14999999999998</v>
      </c>
      <c r="O6">
        <f t="shared" si="1"/>
        <v>265.14999999999998</v>
      </c>
      <c r="P6">
        <f t="shared" si="1"/>
        <v>266.14999999999998</v>
      </c>
      <c r="Q6">
        <f t="shared" si="1"/>
        <v>267.14999999999998</v>
      </c>
      <c r="R6">
        <f t="shared" si="1"/>
        <v>268.14999999999998</v>
      </c>
      <c r="S6">
        <f t="shared" si="1"/>
        <v>269.14999999999998</v>
      </c>
      <c r="T6">
        <f t="shared" si="1"/>
        <v>270.14999999999998</v>
      </c>
      <c r="U6">
        <f t="shared" si="1"/>
        <v>271.14999999999998</v>
      </c>
      <c r="V6">
        <f t="shared" si="1"/>
        <v>272.14999999999998</v>
      </c>
      <c r="W6">
        <f t="shared" si="1"/>
        <v>273.14999999999998</v>
      </c>
      <c r="X6">
        <f t="shared" si="1"/>
        <v>274.14999999999998</v>
      </c>
      <c r="Y6">
        <f t="shared" si="1"/>
        <v>275.14999999999998</v>
      </c>
      <c r="Z6">
        <f t="shared" si="1"/>
        <v>276.14999999999998</v>
      </c>
      <c r="AA6">
        <f t="shared" si="1"/>
        <v>277.14999999999998</v>
      </c>
      <c r="AB6">
        <f t="shared" si="1"/>
        <v>278.14999999999998</v>
      </c>
      <c r="AC6">
        <f t="shared" si="1"/>
        <v>279.14999999999998</v>
      </c>
      <c r="AD6">
        <f t="shared" si="1"/>
        <v>280.14999999999998</v>
      </c>
      <c r="AE6">
        <f t="shared" si="1"/>
        <v>281.14999999999998</v>
      </c>
      <c r="AF6">
        <f t="shared" si="1"/>
        <v>282.14999999999998</v>
      </c>
      <c r="AG6">
        <f t="shared" si="1"/>
        <v>283.14999999999998</v>
      </c>
      <c r="AH6">
        <f t="shared" si="1"/>
        <v>284.14999999999998</v>
      </c>
      <c r="AI6">
        <f t="shared" si="1"/>
        <v>285.14999999999998</v>
      </c>
      <c r="AJ6">
        <f t="shared" si="1"/>
        <v>286.14999999999998</v>
      </c>
      <c r="AK6">
        <f t="shared" si="1"/>
        <v>287.14999999999998</v>
      </c>
      <c r="AL6">
        <f t="shared" si="1"/>
        <v>288.14999999999998</v>
      </c>
      <c r="AM6">
        <f t="shared" si="1"/>
        <v>289.14999999999998</v>
      </c>
      <c r="AN6">
        <f t="shared" si="1"/>
        <v>290.14999999999998</v>
      </c>
      <c r="AO6">
        <f t="shared" si="1"/>
        <v>291.14999999999998</v>
      </c>
      <c r="AP6">
        <f t="shared" si="1"/>
        <v>292.14999999999998</v>
      </c>
      <c r="AQ6">
        <f t="shared" si="1"/>
        <v>293.149</v>
      </c>
      <c r="AR6">
        <f t="shared" si="1"/>
        <v>293.149</v>
      </c>
      <c r="AS6">
        <f t="shared" si="1"/>
        <v>293.149</v>
      </c>
    </row>
    <row r="7" spans="1:55" x14ac:dyDescent="0.25">
      <c r="A7" s="16" t="s">
        <v>56</v>
      </c>
      <c r="B7" s="13">
        <v>1.65</v>
      </c>
      <c r="E7" s="16"/>
      <c r="F7" s="18"/>
      <c r="I7" s="16"/>
    </row>
    <row r="8" spans="1:55" x14ac:dyDescent="0.25">
      <c r="A8" s="16"/>
      <c r="B8" s="13"/>
      <c r="E8" s="16"/>
      <c r="F8" s="18"/>
      <c r="I8" s="16" t="s">
        <v>47</v>
      </c>
      <c r="J8" t="s">
        <v>48</v>
      </c>
      <c r="M8">
        <f>(20-M5)*$F$5</f>
        <v>1749.0766826276963</v>
      </c>
      <c r="N8">
        <f t="shared" ref="N8:AS8" si="2">(20-N5)*$F$5</f>
        <v>1690.7741265401064</v>
      </c>
      <c r="O8">
        <f t="shared" si="2"/>
        <v>1632.4715704525165</v>
      </c>
      <c r="P8">
        <f t="shared" si="2"/>
        <v>1574.1690143649266</v>
      </c>
      <c r="Q8">
        <f t="shared" si="2"/>
        <v>1515.8664582773367</v>
      </c>
      <c r="R8">
        <f t="shared" si="2"/>
        <v>1457.5639021897468</v>
      </c>
      <c r="S8">
        <f t="shared" si="2"/>
        <v>1399.2613461021569</v>
      </c>
      <c r="T8">
        <f t="shared" si="2"/>
        <v>1340.9587900145673</v>
      </c>
      <c r="U8">
        <f t="shared" si="2"/>
        <v>1282.6562339269774</v>
      </c>
      <c r="V8">
        <f t="shared" si="2"/>
        <v>1224.3536778393875</v>
      </c>
      <c r="W8">
        <f t="shared" si="2"/>
        <v>1166.0511217517976</v>
      </c>
      <c r="X8">
        <f t="shared" si="2"/>
        <v>1107.7485656642077</v>
      </c>
      <c r="Y8">
        <f t="shared" si="2"/>
        <v>1049.4460095766178</v>
      </c>
      <c r="Z8">
        <f t="shared" si="2"/>
        <v>991.14345348902793</v>
      </c>
      <c r="AA8">
        <f t="shared" si="2"/>
        <v>932.84089740143804</v>
      </c>
      <c r="AB8">
        <f t="shared" si="2"/>
        <v>874.53834131384815</v>
      </c>
      <c r="AC8">
        <f t="shared" si="2"/>
        <v>816.23578522625826</v>
      </c>
      <c r="AD8">
        <f t="shared" si="2"/>
        <v>757.93322913866837</v>
      </c>
      <c r="AE8">
        <f t="shared" si="2"/>
        <v>699.63067305107847</v>
      </c>
      <c r="AF8">
        <f t="shared" si="2"/>
        <v>641.3281169634887</v>
      </c>
      <c r="AG8">
        <f t="shared" si="2"/>
        <v>583.0255608758988</v>
      </c>
      <c r="AH8">
        <f t="shared" si="2"/>
        <v>524.72300478830891</v>
      </c>
      <c r="AI8">
        <f t="shared" si="2"/>
        <v>466.42044870071902</v>
      </c>
      <c r="AJ8">
        <f t="shared" si="2"/>
        <v>408.11789261312913</v>
      </c>
      <c r="AK8">
        <f t="shared" si="2"/>
        <v>349.81533652553924</v>
      </c>
      <c r="AL8">
        <f t="shared" si="2"/>
        <v>291.5127804379494</v>
      </c>
      <c r="AM8">
        <f t="shared" si="2"/>
        <v>233.21022435035951</v>
      </c>
      <c r="AN8">
        <f t="shared" si="2"/>
        <v>174.90766826276962</v>
      </c>
      <c r="AO8">
        <f t="shared" si="2"/>
        <v>116.60511217517976</v>
      </c>
      <c r="AP8">
        <f t="shared" si="2"/>
        <v>58.302556087589878</v>
      </c>
      <c r="AQ8">
        <f t="shared" si="2"/>
        <v>5.8302556087661134E-2</v>
      </c>
      <c r="AR8">
        <f t="shared" si="2"/>
        <v>5.8302556087661134E-2</v>
      </c>
      <c r="AS8">
        <f t="shared" si="2"/>
        <v>5.8302556087661134E-2</v>
      </c>
    </row>
    <row r="9" spans="1:55" ht="30" customHeight="1" x14ac:dyDescent="0.25">
      <c r="A9" s="16"/>
      <c r="B9" s="13"/>
      <c r="E9" s="16"/>
      <c r="F9" s="18"/>
      <c r="I9" s="17" t="s">
        <v>61</v>
      </c>
      <c r="J9" t="s">
        <v>50</v>
      </c>
      <c r="K9">
        <f t="shared" ref="K9" si="3">SUM(M9:BC9)</f>
        <v>175472.1593690867</v>
      </c>
      <c r="M9">
        <f>M8*M4</f>
        <v>0</v>
      </c>
      <c r="N9">
        <f t="shared" ref="N9:AS9" si="4">N8*N4</f>
        <v>0</v>
      </c>
      <c r="O9">
        <f t="shared" si="4"/>
        <v>1627.4330779511199</v>
      </c>
      <c r="P9">
        <f t="shared" si="4"/>
        <v>0</v>
      </c>
      <c r="Q9">
        <f t="shared" si="4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 t="shared" si="4"/>
        <v>3836.092255170473</v>
      </c>
      <c r="V9">
        <f t="shared" si="4"/>
        <v>2441.1496169266802</v>
      </c>
      <c r="W9">
        <f t="shared" si="4"/>
        <v>2324.9043970730286</v>
      </c>
      <c r="X9">
        <f t="shared" si="4"/>
        <v>7730.3071202678157</v>
      </c>
      <c r="Y9">
        <f t="shared" si="4"/>
        <v>9415.8628081457555</v>
      </c>
      <c r="Z9">
        <f t="shared" si="4"/>
        <v>26678.277956412974</v>
      </c>
      <c r="AA9">
        <f t="shared" si="4"/>
        <v>22319.082211901066</v>
      </c>
      <c r="AB9">
        <f t="shared" si="4"/>
        <v>16564.943829145323</v>
      </c>
      <c r="AC9">
        <f t="shared" si="4"/>
        <v>13833.181162584517</v>
      </c>
      <c r="AD9">
        <f t="shared" si="4"/>
        <v>15867.472510023408</v>
      </c>
      <c r="AE9">
        <f t="shared" si="4"/>
        <v>12554.483744194338</v>
      </c>
      <c r="AF9">
        <f t="shared" si="4"/>
        <v>8950.8819287311544</v>
      </c>
      <c r="AG9">
        <f t="shared" si="4"/>
        <v>5231.0348934143085</v>
      </c>
      <c r="AH9">
        <f t="shared" si="4"/>
        <v>6277.2418720971746</v>
      </c>
      <c r="AI9">
        <f t="shared" si="4"/>
        <v>5579.7705529752666</v>
      </c>
      <c r="AJ9">
        <f t="shared" si="4"/>
        <v>4068.5826948777999</v>
      </c>
      <c r="AK9">
        <f t="shared" si="4"/>
        <v>5579.7705529752639</v>
      </c>
      <c r="AL9">
        <f t="shared" si="4"/>
        <v>2615.5174467071542</v>
      </c>
      <c r="AM9">
        <f t="shared" si="4"/>
        <v>1162.4521985365143</v>
      </c>
      <c r="AN9">
        <f t="shared" si="4"/>
        <v>697.47131912190673</v>
      </c>
      <c r="AO9">
        <f t="shared" si="4"/>
        <v>0</v>
      </c>
      <c r="AP9">
        <f t="shared" si="4"/>
        <v>116.24521985365143</v>
      </c>
      <c r="AQ9">
        <f t="shared" si="4"/>
        <v>0</v>
      </c>
      <c r="AR9">
        <f t="shared" si="4"/>
        <v>0</v>
      </c>
      <c r="AS9">
        <f t="shared" si="4"/>
        <v>0</v>
      </c>
    </row>
    <row r="10" spans="1:55" x14ac:dyDescent="0.25">
      <c r="A10" s="16"/>
      <c r="B10" s="13"/>
      <c r="E10" s="16"/>
      <c r="F10" s="18"/>
      <c r="I10" s="16" t="s">
        <v>52</v>
      </c>
      <c r="J10" t="s">
        <v>43</v>
      </c>
      <c r="M10">
        <f>20+$B$7*2.125*(20-M5)^0.78</f>
        <v>69.773417082366706</v>
      </c>
      <c r="N10">
        <f t="shared" ref="N10:AS10" si="5">20+$B$7*2.125*(20-N5)^0.78</f>
        <v>68.47449763434517</v>
      </c>
      <c r="O10">
        <f t="shared" si="5"/>
        <v>67.165684657944126</v>
      </c>
      <c r="P10">
        <f t="shared" si="5"/>
        <v>65.846545198315411</v>
      </c>
      <c r="Q10">
        <f t="shared" si="5"/>
        <v>64.516610533756904</v>
      </c>
      <c r="R10">
        <f t="shared" si="5"/>
        <v>63.17537172338244</v>
      </c>
      <c r="S10">
        <f t="shared" si="5"/>
        <v>61.82227439904284</v>
      </c>
      <c r="T10">
        <f t="shared" si="5"/>
        <v>60.456712636124252</v>
      </c>
      <c r="U10">
        <f t="shared" si="5"/>
        <v>59.078021692830504</v>
      </c>
      <c r="V10">
        <f t="shared" si="5"/>
        <v>57.685469347653978</v>
      </c>
      <c r="W10">
        <f t="shared" si="5"/>
        <v>56.278245484087535</v>
      </c>
      <c r="X10">
        <f t="shared" si="5"/>
        <v>54.855449461619941</v>
      </c>
      <c r="Y10">
        <f t="shared" si="5"/>
        <v>53.416074659881765</v>
      </c>
      <c r="Z10">
        <f t="shared" si="5"/>
        <v>51.958989369017715</v>
      </c>
      <c r="AA10">
        <f t="shared" si="5"/>
        <v>50.482912893855925</v>
      </c>
      <c r="AB10">
        <f t="shared" si="5"/>
        <v>48.98638529456764</v>
      </c>
      <c r="AC10">
        <f t="shared" si="5"/>
        <v>47.467728524943752</v>
      </c>
      <c r="AD10">
        <f t="shared" si="5"/>
        <v>45.924995722201054</v>
      </c>
      <c r="AE10">
        <f t="shared" si="5"/>
        <v>44.355903827532515</v>
      </c>
      <c r="AF10">
        <f t="shared" si="5"/>
        <v>42.75774217919129</v>
      </c>
      <c r="AG10">
        <f t="shared" si="5"/>
        <v>41.127245486732178</v>
      </c>
      <c r="AH10">
        <f t="shared" si="5"/>
        <v>39.460412242150895</v>
      </c>
      <c r="AI10">
        <f t="shared" si="5"/>
        <v>37.752236230433169</v>
      </c>
      <c r="AJ10">
        <f t="shared" si="5"/>
        <v>35.996292978499824</v>
      </c>
      <c r="AK10">
        <f t="shared" si="5"/>
        <v>34.184069608361369</v>
      </c>
      <c r="AL10">
        <f t="shared" si="5"/>
        <v>32.303806203980528</v>
      </c>
      <c r="AM10">
        <f t="shared" si="5"/>
        <v>30.338312886253846</v>
      </c>
      <c r="AN10">
        <f t="shared" si="5"/>
        <v>28.260331132832484</v>
      </c>
      <c r="AO10">
        <f t="shared" si="5"/>
        <v>26.020690123019747</v>
      </c>
      <c r="AP10">
        <f t="shared" si="5"/>
        <v>23.506250000000001</v>
      </c>
      <c r="AQ10">
        <f t="shared" si="5"/>
        <v>20.016026654648385</v>
      </c>
      <c r="AR10">
        <f t="shared" si="5"/>
        <v>20.016026654648385</v>
      </c>
      <c r="AS10">
        <f t="shared" si="5"/>
        <v>20.016026654648385</v>
      </c>
    </row>
    <row r="11" spans="1:55" x14ac:dyDescent="0.25">
      <c r="A11" s="16"/>
      <c r="B11" s="13"/>
      <c r="E11" s="16"/>
      <c r="F11" s="18"/>
      <c r="I11" s="16" t="s">
        <v>76</v>
      </c>
      <c r="J11" t="s">
        <v>53</v>
      </c>
      <c r="M11">
        <f>M10+273.15</f>
        <v>342.92341708236665</v>
      </c>
      <c r="N11">
        <f t="shared" ref="N11:AS11" si="6">N10+273.15</f>
        <v>341.62449763434518</v>
      </c>
      <c r="O11">
        <f t="shared" si="6"/>
        <v>340.31568465794408</v>
      </c>
      <c r="P11">
        <f t="shared" si="6"/>
        <v>338.9965451983154</v>
      </c>
      <c r="Q11">
        <f t="shared" si="6"/>
        <v>337.66661053375685</v>
      </c>
      <c r="R11">
        <f t="shared" si="6"/>
        <v>336.32537172338243</v>
      </c>
      <c r="S11">
        <f t="shared" si="6"/>
        <v>334.97227439904282</v>
      </c>
      <c r="T11">
        <f t="shared" si="6"/>
        <v>333.60671263612426</v>
      </c>
      <c r="U11">
        <f t="shared" si="6"/>
        <v>332.22802169283045</v>
      </c>
      <c r="V11">
        <f t="shared" si="6"/>
        <v>330.83546934765394</v>
      </c>
      <c r="W11">
        <f t="shared" si="6"/>
        <v>329.42824548408748</v>
      </c>
      <c r="X11">
        <f t="shared" si="6"/>
        <v>328.00544946161995</v>
      </c>
      <c r="Y11">
        <f t="shared" si="6"/>
        <v>326.56607465988174</v>
      </c>
      <c r="Z11">
        <f t="shared" si="6"/>
        <v>325.10898936901771</v>
      </c>
      <c r="AA11">
        <f t="shared" si="6"/>
        <v>323.63291289385592</v>
      </c>
      <c r="AB11">
        <f t="shared" si="6"/>
        <v>322.13638529456762</v>
      </c>
      <c r="AC11">
        <f t="shared" si="6"/>
        <v>320.61772852494374</v>
      </c>
      <c r="AD11">
        <f t="shared" si="6"/>
        <v>319.07499572220104</v>
      </c>
      <c r="AE11">
        <f t="shared" si="6"/>
        <v>317.50590382753251</v>
      </c>
      <c r="AF11">
        <f t="shared" si="6"/>
        <v>315.90774217919125</v>
      </c>
      <c r="AG11">
        <f t="shared" si="6"/>
        <v>314.27724548673217</v>
      </c>
      <c r="AH11">
        <f t="shared" si="6"/>
        <v>312.61041224215086</v>
      </c>
      <c r="AI11">
        <f t="shared" si="6"/>
        <v>310.90223623043312</v>
      </c>
      <c r="AJ11">
        <f t="shared" si="6"/>
        <v>309.14629297849979</v>
      </c>
      <c r="AK11">
        <f t="shared" si="6"/>
        <v>307.33406960836135</v>
      </c>
      <c r="AL11">
        <f t="shared" si="6"/>
        <v>305.45380620398049</v>
      </c>
      <c r="AM11">
        <f t="shared" si="6"/>
        <v>303.48831288625382</v>
      </c>
      <c r="AN11">
        <f t="shared" si="6"/>
        <v>301.41033113283248</v>
      </c>
      <c r="AO11">
        <f t="shared" si="6"/>
        <v>299.17069012301971</v>
      </c>
      <c r="AP11">
        <f t="shared" si="6"/>
        <v>296.65625</v>
      </c>
      <c r="AQ11">
        <f t="shared" si="6"/>
        <v>293.16602665464836</v>
      </c>
      <c r="AR11">
        <f t="shared" si="6"/>
        <v>293.16602665464836</v>
      </c>
      <c r="AS11">
        <f t="shared" si="6"/>
        <v>293.16602665464836</v>
      </c>
    </row>
    <row r="12" spans="1:55" x14ac:dyDescent="0.25">
      <c r="A12" s="16"/>
      <c r="B12" s="13"/>
      <c r="E12" s="16"/>
      <c r="F12" s="18"/>
      <c r="I12" s="16"/>
    </row>
    <row r="13" spans="1:55" ht="30" x14ac:dyDescent="0.25">
      <c r="A13" s="16" t="s">
        <v>73</v>
      </c>
      <c r="B13" s="13">
        <v>11</v>
      </c>
      <c r="C13" t="s">
        <v>43</v>
      </c>
      <c r="E13" s="17" t="s">
        <v>74</v>
      </c>
      <c r="F13" s="18">
        <f>B13+273.15</f>
        <v>284.14999999999998</v>
      </c>
      <c r="G13" t="s">
        <v>53</v>
      </c>
      <c r="I13" s="16" t="s">
        <v>46</v>
      </c>
      <c r="M13" s="6">
        <f>M$11/(M$11-$F$13)*$B$14</f>
        <v>3.1507210983660108</v>
      </c>
      <c r="N13" s="6">
        <f t="shared" ref="N13:AS13" si="7">N$11/(N$11-$F$13)*$B$14</f>
        <v>3.2097232044757855</v>
      </c>
      <c r="O13" s="6">
        <f t="shared" si="7"/>
        <v>3.2719350050564588</v>
      </c>
      <c r="P13" s="6">
        <f t="shared" si="7"/>
        <v>3.3376420291412052</v>
      </c>
      <c r="Q13" s="6">
        <f t="shared" si="7"/>
        <v>3.4071658849398436</v>
      </c>
      <c r="R13" s="6">
        <f t="shared" si="7"/>
        <v>3.4808702790561092</v>
      </c>
      <c r="S13" s="6">
        <f t="shared" si="7"/>
        <v>3.5591683039452842</v>
      </c>
      <c r="T13" s="6">
        <f t="shared" si="7"/>
        <v>3.6425313212573553</v>
      </c>
      <c r="U13" s="6">
        <f t="shared" si="7"/>
        <v>3.7314998703634585</v>
      </c>
      <c r="V13" s="6">
        <f t="shared" si="7"/>
        <v>3.8266971703200987</v>
      </c>
      <c r="W13" s="6">
        <f t="shared" si="7"/>
        <v>3.9288459757992387</v>
      </c>
      <c r="X13" s="6">
        <f t="shared" si="7"/>
        <v>4.0387898170849592</v>
      </c>
      <c r="Y13" s="6">
        <f t="shared" si="7"/>
        <v>4.15752003763631</v>
      </c>
      <c r="Z13" s="6">
        <f t="shared" si="7"/>
        <v>4.2862105965941169</v>
      </c>
      <c r="AA13" s="6">
        <f t="shared" si="7"/>
        <v>4.426263417608113</v>
      </c>
      <c r="AB13" s="6">
        <f t="shared" si="7"/>
        <v>4.5793682844559385</v>
      </c>
      <c r="AC13" s="6">
        <f t="shared" si="7"/>
        <v>4.7475831483457229</v>
      </c>
      <c r="AD13" s="6">
        <f t="shared" si="7"/>
        <v>4.9334436304729712</v>
      </c>
      <c r="AE13" s="6">
        <f t="shared" si="7"/>
        <v>5.1401151938010798</v>
      </c>
      <c r="AF13" s="6">
        <f t="shared" si="7"/>
        <v>5.3716092225391154</v>
      </c>
      <c r="AG13" s="6">
        <f t="shared" si="7"/>
        <v>5.6330975441340705</v>
      </c>
      <c r="AH13" s="6">
        <f t="shared" si="7"/>
        <v>5.9313836066207228</v>
      </c>
      <c r="AI13" s="6">
        <f t="shared" si="7"/>
        <v>6.2756326655581294</v>
      </c>
      <c r="AJ13" s="6">
        <f t="shared" si="7"/>
        <v>6.6785502295072314</v>
      </c>
      <c r="AK13" s="6">
        <f t="shared" si="7"/>
        <v>7.1583807498861747</v>
      </c>
      <c r="AL13" s="6">
        <f t="shared" si="7"/>
        <v>7.7425157631846222</v>
      </c>
      <c r="AM13" s="6">
        <f t="shared" si="7"/>
        <v>8.4745597985990635</v>
      </c>
      <c r="AN13" s="6">
        <f t="shared" si="7"/>
        <v>9.4298062742333713</v>
      </c>
      <c r="AO13" s="6">
        <f t="shared" si="7"/>
        <v>10.755309599180553</v>
      </c>
      <c r="AP13" s="6">
        <f t="shared" si="7"/>
        <v>12.809145427286335</v>
      </c>
      <c r="AQ13" s="6">
        <f t="shared" si="7"/>
        <v>17.558694140715581</v>
      </c>
      <c r="AR13" s="6">
        <f t="shared" si="7"/>
        <v>17.558694140715581</v>
      </c>
      <c r="AS13" s="6">
        <f t="shared" si="7"/>
        <v>17.558694140715581</v>
      </c>
    </row>
    <row r="14" spans="1:55" x14ac:dyDescent="0.25">
      <c r="A14" s="16" t="s">
        <v>75</v>
      </c>
      <c r="B14" s="14">
        <v>0.54</v>
      </c>
      <c r="C14" t="s">
        <v>45</v>
      </c>
      <c r="E14" s="16" t="s">
        <v>79</v>
      </c>
      <c r="F14" s="20">
        <f>K9/K15</f>
        <v>4.7579999063486627</v>
      </c>
      <c r="I14" s="16" t="s">
        <v>77</v>
      </c>
      <c r="J14" t="s">
        <v>50</v>
      </c>
      <c r="M14">
        <f>M8/M13</f>
        <v>555.13535727893577</v>
      </c>
      <c r="N14">
        <f t="shared" ref="N14:AS14" si="8">N8/N13</f>
        <v>526.76633430023287</v>
      </c>
      <c r="O14">
        <f t="shared" si="8"/>
        <v>498.93153987768392</v>
      </c>
      <c r="P14">
        <f t="shared" si="8"/>
        <v>471.641056956</v>
      </c>
      <c r="Q14">
        <f t="shared" si="8"/>
        <v>444.90538748866953</v>
      </c>
      <c r="R14">
        <f t="shared" si="8"/>
        <v>418.73548432979447</v>
      </c>
      <c r="S14">
        <f t="shared" si="8"/>
        <v>393.14278691207073</v>
      </c>
      <c r="T14">
        <f t="shared" si="8"/>
        <v>368.13926133974473</v>
      </c>
      <c r="U14">
        <f t="shared" si="8"/>
        <v>343.73744566204238</v>
      </c>
      <c r="V14">
        <f t="shared" si="8"/>
        <v>319.95050126659794</v>
      </c>
      <c r="W14">
        <f t="shared" si="8"/>
        <v>296.79227155617616</v>
      </c>
      <c r="X14">
        <f t="shared" si="8"/>
        <v>274.2773493629677</v>
      </c>
      <c r="Y14">
        <f t="shared" si="8"/>
        <v>252.42115493765922</v>
      </c>
      <c r="Z14">
        <f t="shared" si="8"/>
        <v>231.24002686116367</v>
      </c>
      <c r="AA14">
        <f t="shared" si="8"/>
        <v>210.75132891786441</v>
      </c>
      <c r="AB14">
        <f t="shared" si="8"/>
        <v>190.973576919409</v>
      </c>
      <c r="AC14">
        <f t="shared" si="8"/>
        <v>171.92659079824068</v>
      </c>
      <c r="AD14">
        <f t="shared" si="8"/>
        <v>153.63167918997891</v>
      </c>
      <c r="AE14">
        <f t="shared" si="8"/>
        <v>136.11186649957281</v>
      </c>
      <c r="AF14">
        <f t="shared" si="8"/>
        <v>119.39217660742979</v>
      </c>
      <c r="AG14">
        <f t="shared" si="8"/>
        <v>103.49999379702247</v>
      </c>
      <c r="AH14">
        <f t="shared" si="8"/>
        <v>88.465531752591943</v>
      </c>
      <c r="AI14">
        <f t="shared" si="8"/>
        <v>74.322458556333856</v>
      </c>
      <c r="AJ14">
        <f t="shared" si="8"/>
        <v>61.10875543167721</v>
      </c>
      <c r="AK14">
        <f t="shared" si="8"/>
        <v>48.867942171293649</v>
      </c>
      <c r="AL14">
        <f t="shared" si="8"/>
        <v>37.650912100700133</v>
      </c>
      <c r="AM14">
        <f t="shared" si="8"/>
        <v>27.518859963547804</v>
      </c>
      <c r="AN14">
        <f t="shared" si="8"/>
        <v>18.548384046944733</v>
      </c>
      <c r="AO14">
        <f t="shared" si="8"/>
        <v>10.841632321217782</v>
      </c>
      <c r="AP14">
        <f t="shared" si="8"/>
        <v>4.5516351124714722</v>
      </c>
      <c r="AQ14">
        <f t="shared" si="8"/>
        <v>3.3204380474096632E-3</v>
      </c>
      <c r="AR14">
        <f t="shared" si="8"/>
        <v>3.3204380474096632E-3</v>
      </c>
      <c r="AS14">
        <f t="shared" si="8"/>
        <v>3.3204380474096632E-3</v>
      </c>
    </row>
    <row r="15" spans="1:55" ht="30" customHeight="1" x14ac:dyDescent="0.25">
      <c r="A15" s="16"/>
      <c r="B15" s="14"/>
      <c r="E15" s="17" t="s">
        <v>80</v>
      </c>
      <c r="F15" s="20">
        <f>K15</f>
        <v>36879.395296950694</v>
      </c>
      <c r="G15" t="s">
        <v>50</v>
      </c>
      <c r="I15" s="17" t="s">
        <v>78</v>
      </c>
      <c r="J15" t="s">
        <v>50</v>
      </c>
      <c r="K15">
        <f>SUM(M15:BC15)</f>
        <v>36879.395296950694</v>
      </c>
      <c r="M15">
        <f>M14*M4</f>
        <v>0</v>
      </c>
      <c r="N15">
        <f t="shared" ref="N15:AS15" si="9">N14*N4</f>
        <v>0</v>
      </c>
      <c r="O15">
        <f t="shared" si="9"/>
        <v>497.39162771756764</v>
      </c>
      <c r="P15">
        <f t="shared" si="9"/>
        <v>0</v>
      </c>
      <c r="Q15">
        <f t="shared" si="9"/>
        <v>0</v>
      </c>
      <c r="R15">
        <f t="shared" si="9"/>
        <v>0</v>
      </c>
      <c r="S15">
        <f t="shared" si="9"/>
        <v>0</v>
      </c>
      <c r="T15">
        <f t="shared" si="9"/>
        <v>0</v>
      </c>
      <c r="U15">
        <f t="shared" si="9"/>
        <v>1028.0295828596202</v>
      </c>
      <c r="V15">
        <f t="shared" si="9"/>
        <v>637.92599943895766</v>
      </c>
      <c r="W15">
        <f t="shared" si="9"/>
        <v>591.75249205336365</v>
      </c>
      <c r="X15">
        <f t="shared" si="9"/>
        <v>1914.0157003384866</v>
      </c>
      <c r="Y15">
        <f t="shared" si="9"/>
        <v>2264.7786956906621</v>
      </c>
      <c r="Z15">
        <f t="shared" si="9"/>
        <v>6224.2107230129823</v>
      </c>
      <c r="AA15">
        <f t="shared" si="9"/>
        <v>5042.4206844792725</v>
      </c>
      <c r="AB15">
        <f t="shared" si="9"/>
        <v>3617.2988936864585</v>
      </c>
      <c r="AC15">
        <f t="shared" si="9"/>
        <v>2913.7312039294425</v>
      </c>
      <c r="AD15">
        <f t="shared" si="9"/>
        <v>3216.3076541531677</v>
      </c>
      <c r="AE15">
        <f t="shared" si="9"/>
        <v>2442.4518266312207</v>
      </c>
      <c r="AF15">
        <f t="shared" si="9"/>
        <v>1666.331551292584</v>
      </c>
      <c r="AG15">
        <f t="shared" si="9"/>
        <v>928.62494434550615</v>
      </c>
      <c r="AH15">
        <f t="shared" si="9"/>
        <v>1058.3098798550809</v>
      </c>
      <c r="AI15">
        <f t="shared" si="9"/>
        <v>889.11681902577129</v>
      </c>
      <c r="AJ15">
        <f t="shared" si="9"/>
        <v>609.20148161826353</v>
      </c>
      <c r="AK15">
        <f t="shared" si="9"/>
        <v>779.47384302853516</v>
      </c>
      <c r="AL15">
        <f t="shared" si="9"/>
        <v>337.81235023683695</v>
      </c>
      <c r="AM15">
        <f t="shared" si="9"/>
        <v>137.16962605286946</v>
      </c>
      <c r="AN15">
        <f t="shared" si="9"/>
        <v>73.964543792137462</v>
      </c>
      <c r="AO15">
        <f t="shared" si="9"/>
        <v>0</v>
      </c>
      <c r="AP15">
        <f>AP14*AP4</f>
        <v>9.0751737119029983</v>
      </c>
      <c r="AQ15">
        <f t="shared" si="9"/>
        <v>0</v>
      </c>
      <c r="AR15">
        <f>AR14*AR4</f>
        <v>0</v>
      </c>
      <c r="AS15">
        <f t="shared" si="9"/>
        <v>0</v>
      </c>
    </row>
    <row r="16" spans="1:55" ht="30" customHeight="1" x14ac:dyDescent="0.25">
      <c r="A16" s="16"/>
      <c r="B16" s="14"/>
      <c r="E16" s="17"/>
      <c r="F16" s="20"/>
      <c r="I16" s="17"/>
    </row>
    <row r="17" spans="1:45" ht="30" customHeight="1" x14ac:dyDescent="0.25">
      <c r="A17" s="16" t="s">
        <v>101</v>
      </c>
      <c r="B17" s="14">
        <v>0.42</v>
      </c>
      <c r="E17" s="16" t="s">
        <v>105</v>
      </c>
      <c r="F17" s="20">
        <f>K9/K19</f>
        <v>3.2462823927293138</v>
      </c>
      <c r="I17" s="16" t="s">
        <v>102</v>
      </c>
      <c r="M17">
        <f>M$11/(M$11-M6)*$B$17</f>
        <v>1.805461523929508</v>
      </c>
      <c r="N17">
        <f t="shared" ref="N17:AS17" si="10">N$11/(N$11-N6)*$B$17</f>
        <v>1.8519937965085669</v>
      </c>
      <c r="O17">
        <f t="shared" si="10"/>
        <v>1.9015670276506991</v>
      </c>
      <c r="P17">
        <f t="shared" si="10"/>
        <v>1.954499675937754</v>
      </c>
      <c r="Q17">
        <f t="shared" si="10"/>
        <v>2.0111570217386934</v>
      </c>
      <c r="R17">
        <f t="shared" si="10"/>
        <v>2.0719601896262652</v>
      </c>
      <c r="S17">
        <f t="shared" si="10"/>
        <v>2.1373973557140378</v>
      </c>
      <c r="T17">
        <f t="shared" si="10"/>
        <v>2.2080377864927154</v>
      </c>
      <c r="U17">
        <f t="shared" si="10"/>
        <v>2.2845495850001951</v>
      </c>
      <c r="V17">
        <f t="shared" si="10"/>
        <v>2.3677223454219409</v>
      </c>
      <c r="W17">
        <f t="shared" si="10"/>
        <v>2.4584963854716748</v>
      </c>
      <c r="X17">
        <f t="shared" si="10"/>
        <v>2.5580009107909594</v>
      </c>
      <c r="Y17">
        <f t="shared" si="10"/>
        <v>2.6676044848707585</v>
      </c>
      <c r="Z17">
        <f t="shared" si="10"/>
        <v>2.7889827240060727</v>
      </c>
      <c r="AA17">
        <f t="shared" si="10"/>
        <v>2.9242105314227418</v>
      </c>
      <c r="AB17">
        <f t="shared" si="10"/>
        <v>3.0758899809034261</v>
      </c>
      <c r="AC17">
        <f t="shared" si="10"/>
        <v>3.2473311360538037</v>
      </c>
      <c r="AD17">
        <f t="shared" si="10"/>
        <v>3.4428134343221086</v>
      </c>
      <c r="AE17">
        <f t="shared" si="10"/>
        <v>3.6679731644183491</v>
      </c>
      <c r="AF17">
        <f t="shared" si="10"/>
        <v>3.9303947228155218</v>
      </c>
      <c r="AG17">
        <f t="shared" si="10"/>
        <v>4.2405436472266782</v>
      </c>
      <c r="AH17">
        <f t="shared" si="10"/>
        <v>4.6132983607050067</v>
      </c>
      <c r="AI17">
        <f t="shared" si="10"/>
        <v>5.0705864161989949</v>
      </c>
      <c r="AJ17">
        <f t="shared" si="10"/>
        <v>5.6461901564901815</v>
      </c>
      <c r="AK17">
        <f t="shared" si="10"/>
        <v>6.3951577526288101</v>
      </c>
      <c r="AL17">
        <f t="shared" si="10"/>
        <v>7.414010368202125</v>
      </c>
      <c r="AM17">
        <f t="shared" si="10"/>
        <v>8.889824934314797</v>
      </c>
      <c r="AN17">
        <f t="shared" si="10"/>
        <v>11.242328274581183</v>
      </c>
      <c r="AO17">
        <f t="shared" si="10"/>
        <v>15.665944940453739</v>
      </c>
      <c r="AP17">
        <f t="shared" si="10"/>
        <v>27.649514563106656</v>
      </c>
      <c r="AQ17">
        <f t="shared" si="10"/>
        <v>7231.586811258876</v>
      </c>
      <c r="AR17">
        <f>AR$11/(AR$11-AR6)*$B$17</f>
        <v>7231.586811258876</v>
      </c>
      <c r="AS17">
        <f t="shared" si="10"/>
        <v>7231.586811258876</v>
      </c>
    </row>
    <row r="18" spans="1:45" ht="30" customHeight="1" x14ac:dyDescent="0.25">
      <c r="A18" s="16"/>
      <c r="B18" s="14"/>
      <c r="E18" s="17" t="s">
        <v>103</v>
      </c>
      <c r="F18" s="20">
        <f>K19</f>
        <v>54053.264054319799</v>
      </c>
      <c r="G18" t="s">
        <v>50</v>
      </c>
      <c r="I18" s="16" t="s">
        <v>77</v>
      </c>
      <c r="J18" t="s">
        <v>50</v>
      </c>
      <c r="M18">
        <f>M8/M17</f>
        <v>968.76984607287977</v>
      </c>
      <c r="N18">
        <f t="shared" ref="N18:AS18" si="11">N8/N17</f>
        <v>912.94805075891907</v>
      </c>
      <c r="O18">
        <f t="shared" si="11"/>
        <v>858.48752461245715</v>
      </c>
      <c r="P18">
        <f t="shared" si="11"/>
        <v>805.40766199393329</v>
      </c>
      <c r="Q18">
        <f t="shared" si="11"/>
        <v>753.72854625087098</v>
      </c>
      <c r="R18">
        <f t="shared" si="11"/>
        <v>703.47099789241531</v>
      </c>
      <c r="S18">
        <f t="shared" si="11"/>
        <v>654.65662824061428</v>
      </c>
      <c r="T18">
        <f t="shared" si="11"/>
        <v>607.30789944703292</v>
      </c>
      <c r="U18">
        <f t="shared" si="11"/>
        <v>561.44819195371849</v>
      </c>
      <c r="V18">
        <f t="shared" si="11"/>
        <v>517.10188071954906</v>
      </c>
      <c r="W18">
        <f t="shared" si="11"/>
        <v>474.29442184357123</v>
      </c>
      <c r="X18">
        <f t="shared" si="11"/>
        <v>433.05245161999602</v>
      </c>
      <c r="Y18">
        <f t="shared" si="11"/>
        <v>393.40390058890682</v>
      </c>
      <c r="Z18">
        <f t="shared" si="11"/>
        <v>355.37812585133452</v>
      </c>
      <c r="AA18">
        <f t="shared" si="11"/>
        <v>319.0060658688534</v>
      </c>
      <c r="AB18">
        <f t="shared" si="11"/>
        <v>284.32042327371721</v>
      </c>
      <c r="AC18">
        <f t="shared" si="11"/>
        <v>251.35588304005174</v>
      </c>
      <c r="AD18">
        <f t="shared" si="11"/>
        <v>220.14937596753794</v>
      </c>
      <c r="AE18">
        <f t="shared" si="11"/>
        <v>190.74040122156205</v>
      </c>
      <c r="AF18">
        <f t="shared" si="11"/>
        <v>163.1714273481611</v>
      </c>
      <c r="AG18">
        <f t="shared" si="11"/>
        <v>137.48839992655149</v>
      </c>
      <c r="AH18">
        <f t="shared" si="11"/>
        <v>113.74139796761823</v>
      </c>
      <c r="AI18">
        <f t="shared" si="11"/>
        <v>91.985504321678917</v>
      </c>
      <c r="AJ18">
        <f t="shared" si="11"/>
        <v>72.281995700057294</v>
      </c>
      <c r="AK18">
        <f t="shared" si="11"/>
        <v>54.700032439660028</v>
      </c>
      <c r="AL18">
        <f t="shared" si="11"/>
        <v>39.31917625691699</v>
      </c>
      <c r="AM18">
        <f t="shared" si="11"/>
        <v>26.233387729624027</v>
      </c>
      <c r="AN18">
        <f t="shared" si="11"/>
        <v>15.55795774601552</v>
      </c>
      <c r="AO18">
        <f t="shared" si="11"/>
        <v>7.4432223921631167</v>
      </c>
      <c r="AP18">
        <f t="shared" si="11"/>
        <v>2.1086285603503589</v>
      </c>
      <c r="AQ18">
        <f t="shared" si="11"/>
        <v>8.0622078679730057E-6</v>
      </c>
      <c r="AR18">
        <f t="shared" si="11"/>
        <v>8.0622078679730057E-6</v>
      </c>
      <c r="AS18">
        <f t="shared" si="11"/>
        <v>8.0622078679730057E-6</v>
      </c>
    </row>
    <row r="19" spans="1:45" x14ac:dyDescent="0.25">
      <c r="A19" s="16"/>
      <c r="B19" s="14"/>
      <c r="E19" s="16"/>
      <c r="F19" s="20"/>
      <c r="I19" s="17" t="s">
        <v>78</v>
      </c>
      <c r="J19" t="s">
        <v>50</v>
      </c>
      <c r="K19">
        <f>SUM(M19:AS19)</f>
        <v>54053.264054319799</v>
      </c>
      <c r="M19">
        <f>M18*M4</f>
        <v>0</v>
      </c>
      <c r="N19">
        <f t="shared" ref="N19:AS19" si="12">N18*N4</f>
        <v>0</v>
      </c>
      <c r="O19">
        <f t="shared" si="12"/>
        <v>855.8378717587151</v>
      </c>
      <c r="P19">
        <f t="shared" si="12"/>
        <v>0</v>
      </c>
      <c r="Q19">
        <f t="shared" si="12"/>
        <v>0</v>
      </c>
      <c r="R19">
        <f t="shared" si="12"/>
        <v>0</v>
      </c>
      <c r="S19">
        <f t="shared" si="12"/>
        <v>0</v>
      </c>
      <c r="T19">
        <f t="shared" si="12"/>
        <v>0</v>
      </c>
      <c r="U19">
        <f t="shared" si="12"/>
        <v>1679.145981491203</v>
      </c>
      <c r="V19">
        <f t="shared" si="12"/>
        <v>1031.0117745210764</v>
      </c>
      <c r="W19">
        <f t="shared" si="12"/>
        <v>945.66110034242911</v>
      </c>
      <c r="X19">
        <f t="shared" si="12"/>
        <v>3022.0110898543535</v>
      </c>
      <c r="Y19">
        <f t="shared" si="12"/>
        <v>3529.7072191726879</v>
      </c>
      <c r="Z19">
        <f t="shared" si="12"/>
        <v>9565.5945541650781</v>
      </c>
      <c r="AA19">
        <f t="shared" si="12"/>
        <v>7632.51550189923</v>
      </c>
      <c r="AB19">
        <f t="shared" si="12"/>
        <v>5385.4149309592649</v>
      </c>
      <c r="AC19">
        <f t="shared" si="12"/>
        <v>4259.8615857189006</v>
      </c>
      <c r="AD19">
        <f t="shared" si="12"/>
        <v>4608.8679542833606</v>
      </c>
      <c r="AE19">
        <f t="shared" si="12"/>
        <v>3422.7305330313598</v>
      </c>
      <c r="AF19">
        <f t="shared" si="12"/>
        <v>2277.3493656431606</v>
      </c>
      <c r="AG19">
        <f t="shared" si="12"/>
        <v>1233.5764771187801</v>
      </c>
      <c r="AH19">
        <f t="shared" si="12"/>
        <v>1360.6841312422471</v>
      </c>
      <c r="AI19">
        <f t="shared" si="12"/>
        <v>1100.4191813297141</v>
      </c>
      <c r="AJ19">
        <f t="shared" si="12"/>
        <v>720.58903120736136</v>
      </c>
      <c r="AK19">
        <f t="shared" si="12"/>
        <v>872.49928286470004</v>
      </c>
      <c r="AL19">
        <f t="shared" si="12"/>
        <v>352.7803869717826</v>
      </c>
      <c r="AM19">
        <f t="shared" si="12"/>
        <v>130.76210241772472</v>
      </c>
      <c r="AN19">
        <f t="shared" si="12"/>
        <v>62.039757431641981</v>
      </c>
      <c r="AO19">
        <f t="shared" si="12"/>
        <v>0</v>
      </c>
      <c r="AP19">
        <f t="shared" si="12"/>
        <v>4.2042408950195433</v>
      </c>
      <c r="AQ19">
        <f t="shared" si="12"/>
        <v>0</v>
      </c>
      <c r="AR19">
        <f t="shared" si="12"/>
        <v>0</v>
      </c>
      <c r="AS19">
        <f t="shared" si="12"/>
        <v>0</v>
      </c>
    </row>
    <row r="20" spans="1:45" x14ac:dyDescent="0.25">
      <c r="A20" s="16"/>
      <c r="B20" s="13"/>
      <c r="E20" s="16"/>
      <c r="F20" s="20"/>
      <c r="I20" s="16"/>
    </row>
    <row r="21" spans="1:45" x14ac:dyDescent="0.25">
      <c r="A21" s="16" t="s">
        <v>71</v>
      </c>
      <c r="B21" s="14">
        <v>0.9</v>
      </c>
      <c r="C21" t="s">
        <v>45</v>
      </c>
      <c r="E21" s="17" t="s">
        <v>67</v>
      </c>
      <c r="F21" s="20">
        <f>$B$4/$B$22/$B$21</f>
        <v>39044.444444444445</v>
      </c>
      <c r="G21" t="s">
        <v>64</v>
      </c>
      <c r="I21" s="16" t="s">
        <v>63</v>
      </c>
      <c r="J21" t="s">
        <v>64</v>
      </c>
      <c r="M21">
        <f t="shared" ref="M21:AS21" si="13">M8/$B$21/$B$22</f>
        <v>388.68370725059918</v>
      </c>
      <c r="N21">
        <f t="shared" si="13"/>
        <v>375.72758367557918</v>
      </c>
      <c r="O21">
        <f t="shared" si="13"/>
        <v>362.77146010055924</v>
      </c>
      <c r="P21">
        <f t="shared" si="13"/>
        <v>349.81533652553924</v>
      </c>
      <c r="Q21">
        <f t="shared" si="13"/>
        <v>336.85921295051924</v>
      </c>
      <c r="R21">
        <f t="shared" si="13"/>
        <v>323.90308937549929</v>
      </c>
      <c r="S21">
        <f t="shared" si="13"/>
        <v>310.94696580047929</v>
      </c>
      <c r="T21">
        <f t="shared" si="13"/>
        <v>297.9908422254594</v>
      </c>
      <c r="U21">
        <f t="shared" si="13"/>
        <v>285.03471865043946</v>
      </c>
      <c r="V21">
        <f t="shared" si="13"/>
        <v>272.07859507541946</v>
      </c>
      <c r="W21">
        <f t="shared" si="13"/>
        <v>259.12247150039946</v>
      </c>
      <c r="X21">
        <f t="shared" si="13"/>
        <v>246.16634792537948</v>
      </c>
      <c r="Y21">
        <f t="shared" si="13"/>
        <v>233.21022435035951</v>
      </c>
      <c r="Z21">
        <f t="shared" si="13"/>
        <v>220.25410077533951</v>
      </c>
      <c r="AA21">
        <f t="shared" si="13"/>
        <v>207.29797720031956</v>
      </c>
      <c r="AB21">
        <f t="shared" si="13"/>
        <v>194.34185362529959</v>
      </c>
      <c r="AC21">
        <f t="shared" si="13"/>
        <v>181.38573005027962</v>
      </c>
      <c r="AD21">
        <f t="shared" si="13"/>
        <v>168.42960647525962</v>
      </c>
      <c r="AE21">
        <f t="shared" si="13"/>
        <v>155.47348290023965</v>
      </c>
      <c r="AF21">
        <f t="shared" si="13"/>
        <v>142.51735932521973</v>
      </c>
      <c r="AG21">
        <f t="shared" si="13"/>
        <v>129.56123575019973</v>
      </c>
      <c r="AH21">
        <f t="shared" si="13"/>
        <v>116.60511217517976</v>
      </c>
      <c r="AI21">
        <f t="shared" si="13"/>
        <v>103.64898860015978</v>
      </c>
      <c r="AJ21">
        <f t="shared" si="13"/>
        <v>90.69286502513981</v>
      </c>
      <c r="AK21">
        <f t="shared" si="13"/>
        <v>77.736741450119823</v>
      </c>
      <c r="AL21">
        <f t="shared" si="13"/>
        <v>64.780617875099864</v>
      </c>
      <c r="AM21">
        <f t="shared" si="13"/>
        <v>51.824494300079891</v>
      </c>
      <c r="AN21">
        <f t="shared" si="13"/>
        <v>38.868370725059911</v>
      </c>
      <c r="AO21">
        <f t="shared" si="13"/>
        <v>25.912247150039946</v>
      </c>
      <c r="AP21">
        <f t="shared" si="13"/>
        <v>12.956123575019973</v>
      </c>
      <c r="AQ21">
        <f t="shared" si="13"/>
        <v>1.2956123575035807E-2</v>
      </c>
      <c r="AR21">
        <f t="shared" si="13"/>
        <v>1.2956123575035807E-2</v>
      </c>
      <c r="AS21">
        <f t="shared" si="13"/>
        <v>1.2956123575035807E-2</v>
      </c>
    </row>
    <row r="22" spans="1:45" ht="30" x14ac:dyDescent="0.25">
      <c r="A22" s="16" t="s">
        <v>65</v>
      </c>
      <c r="B22" s="13">
        <v>5</v>
      </c>
      <c r="C22" t="s">
        <v>66</v>
      </c>
      <c r="E22" s="16" t="s">
        <v>68</v>
      </c>
      <c r="F22" s="20">
        <f>F21/$B$23</f>
        <v>60.068376068376068</v>
      </c>
      <c r="G22" t="s">
        <v>72</v>
      </c>
      <c r="I22" s="17" t="s">
        <v>104</v>
      </c>
      <c r="J22" t="s">
        <v>64</v>
      </c>
      <c r="K22">
        <f>SUM(M22:BC22)</f>
        <v>38993.81319313038</v>
      </c>
      <c r="M22">
        <f t="shared" ref="M22:AS22" si="14">M21*M4</f>
        <v>0</v>
      </c>
      <c r="N22">
        <f t="shared" si="14"/>
        <v>0</v>
      </c>
      <c r="O22">
        <f t="shared" si="14"/>
        <v>361.65179510024893</v>
      </c>
      <c r="P22">
        <f t="shared" si="14"/>
        <v>0</v>
      </c>
      <c r="Q22">
        <f t="shared" si="14"/>
        <v>0</v>
      </c>
      <c r="R22">
        <f t="shared" si="14"/>
        <v>0</v>
      </c>
      <c r="S22">
        <f t="shared" si="14"/>
        <v>0</v>
      </c>
      <c r="T22">
        <f t="shared" si="14"/>
        <v>0</v>
      </c>
      <c r="U22">
        <f t="shared" si="14"/>
        <v>852.46494559343853</v>
      </c>
      <c r="V22">
        <f t="shared" si="14"/>
        <v>542.47769265037346</v>
      </c>
      <c r="W22">
        <f t="shared" si="14"/>
        <v>516.64542157178414</v>
      </c>
      <c r="X22">
        <f t="shared" si="14"/>
        <v>1717.8460267261812</v>
      </c>
      <c r="Y22">
        <f t="shared" si="14"/>
        <v>2092.4139573657235</v>
      </c>
      <c r="Z22">
        <f t="shared" si="14"/>
        <v>5928.5062125362156</v>
      </c>
      <c r="AA22">
        <f t="shared" si="14"/>
        <v>4959.7960470891258</v>
      </c>
      <c r="AB22">
        <f t="shared" si="14"/>
        <v>3681.0986286989601</v>
      </c>
      <c r="AC22">
        <f t="shared" si="14"/>
        <v>3074.040258352115</v>
      </c>
      <c r="AD22">
        <f t="shared" si="14"/>
        <v>3526.1050022274239</v>
      </c>
      <c r="AE22">
        <f t="shared" si="14"/>
        <v>2789.8852764876306</v>
      </c>
      <c r="AF22">
        <f t="shared" si="14"/>
        <v>1989.084873051368</v>
      </c>
      <c r="AG22">
        <f t="shared" si="14"/>
        <v>1162.4521985365129</v>
      </c>
      <c r="AH22">
        <f t="shared" si="14"/>
        <v>1394.9426382438166</v>
      </c>
      <c r="AI22">
        <f t="shared" si="14"/>
        <v>1239.9490117722814</v>
      </c>
      <c r="AJ22">
        <f t="shared" si="14"/>
        <v>904.12948775062216</v>
      </c>
      <c r="AK22">
        <f t="shared" si="14"/>
        <v>1239.9490117722805</v>
      </c>
      <c r="AL22">
        <f t="shared" si="14"/>
        <v>581.22609926825646</v>
      </c>
      <c r="AM22">
        <f t="shared" si="14"/>
        <v>258.32271078589207</v>
      </c>
      <c r="AN22">
        <f t="shared" si="14"/>
        <v>154.99362647153481</v>
      </c>
      <c r="AO22">
        <f t="shared" si="14"/>
        <v>0</v>
      </c>
      <c r="AP22">
        <f t="shared" si="14"/>
        <v>25.832271078589208</v>
      </c>
      <c r="AQ22">
        <f t="shared" si="14"/>
        <v>0</v>
      </c>
      <c r="AR22">
        <f t="shared" si="14"/>
        <v>0</v>
      </c>
      <c r="AS22">
        <f t="shared" si="14"/>
        <v>0</v>
      </c>
    </row>
    <row r="23" spans="1:45" x14ac:dyDescent="0.25">
      <c r="A23" s="16" t="s">
        <v>69</v>
      </c>
      <c r="B23" s="13">
        <v>650</v>
      </c>
      <c r="C23" t="s">
        <v>70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61E1-0F2F-4C54-BDFD-538E54EF6116}">
  <sheetPr>
    <pageSetUpPr fitToPage="1"/>
  </sheetPr>
  <dimension ref="A1:BB24"/>
  <sheetViews>
    <sheetView zoomScale="55" zoomScaleNormal="55" workbookViewId="0">
      <selection activeCell="B13" sqref="B13"/>
    </sheetView>
  </sheetViews>
  <sheetFormatPr baseColWidth="10" defaultColWidth="9.140625" defaultRowHeight="15" x14ac:dyDescent="0.25"/>
  <cols>
    <col min="1" max="1" width="29.42578125" style="29" customWidth="1"/>
    <col min="2" max="2" width="7.42578125" style="29" customWidth="1"/>
    <col min="3" max="3" width="10.7109375" style="30" customWidth="1"/>
    <col min="4" max="4" width="25.7109375" style="29" customWidth="1"/>
    <col min="5" max="5" width="7" style="29" customWidth="1"/>
    <col min="6" max="6" width="11.5703125" style="30" customWidth="1"/>
    <col min="7" max="7" width="0.85546875" style="31" customWidth="1"/>
    <col min="8" max="8" width="30.42578125" style="29" customWidth="1"/>
    <col min="9" max="9" width="9.85546875" style="31" bestFit="1" customWidth="1"/>
    <col min="10" max="10" width="10.28515625" style="29" customWidth="1"/>
    <col min="11" max="11" width="0.85546875" style="32" customWidth="1"/>
    <col min="12" max="12" width="11.42578125" style="32" bestFit="1" customWidth="1"/>
    <col min="13" max="14" width="14.7109375" style="48" bestFit="1" customWidth="1"/>
    <col min="15" max="15" width="14.7109375" style="31" bestFit="1" customWidth="1"/>
    <col min="16" max="19" width="14.7109375" style="32" bestFit="1" customWidth="1"/>
    <col min="20" max="21" width="14.7109375" style="29" bestFit="1" customWidth="1"/>
    <col min="22" max="22" width="14.28515625" style="29" customWidth="1"/>
    <col min="23" max="31" width="13.42578125" style="29" bestFit="1" customWidth="1"/>
    <col min="32" max="32" width="14.42578125" style="29" bestFit="1" customWidth="1"/>
    <col min="33" max="44" width="15.42578125" style="29" bestFit="1" customWidth="1"/>
    <col min="45" max="54" width="15.7109375" style="29" customWidth="1"/>
    <col min="55" max="16384" width="9.140625" style="29"/>
  </cols>
  <sheetData>
    <row r="1" spans="1:54" s="25" customFormat="1" ht="21" x14ac:dyDescent="0.25">
      <c r="A1" s="21" t="s">
        <v>39</v>
      </c>
      <c r="B1" s="21" t="s">
        <v>42</v>
      </c>
      <c r="C1" s="22" t="s">
        <v>34</v>
      </c>
      <c r="D1" s="21" t="s">
        <v>58</v>
      </c>
      <c r="E1" s="23" t="s">
        <v>42</v>
      </c>
      <c r="F1" s="24" t="s">
        <v>34</v>
      </c>
      <c r="G1" s="22"/>
      <c r="H1" s="21" t="s">
        <v>33</v>
      </c>
      <c r="I1" s="22" t="s">
        <v>34</v>
      </c>
      <c r="J1" s="23" t="s">
        <v>116</v>
      </c>
      <c r="K1" s="47"/>
      <c r="L1" s="47"/>
    </row>
    <row r="2" spans="1:54" x14ac:dyDescent="0.25">
      <c r="A2" s="26" t="s">
        <v>41</v>
      </c>
      <c r="B2" s="27">
        <v>242.25</v>
      </c>
      <c r="C2" s="28" t="s">
        <v>44</v>
      </c>
      <c r="E2" s="26"/>
      <c r="H2" s="26" t="s">
        <v>110</v>
      </c>
      <c r="J2" s="25"/>
      <c r="L2" s="32" t="s">
        <v>0</v>
      </c>
      <c r="M2" s="32" t="s">
        <v>1</v>
      </c>
      <c r="N2" s="32" t="s">
        <v>2</v>
      </c>
      <c r="O2" s="32" t="s">
        <v>3</v>
      </c>
      <c r="P2" s="32" t="s">
        <v>4</v>
      </c>
      <c r="Q2" s="32" t="s">
        <v>5</v>
      </c>
      <c r="R2" s="32" t="s">
        <v>6</v>
      </c>
      <c r="S2" s="32" t="s">
        <v>7</v>
      </c>
      <c r="T2" s="32" t="s">
        <v>8</v>
      </c>
      <c r="U2" s="32" t="s">
        <v>9</v>
      </c>
      <c r="V2" s="32" t="s">
        <v>10</v>
      </c>
      <c r="W2" s="32" t="s">
        <v>11</v>
      </c>
      <c r="X2" s="32" t="s">
        <v>12</v>
      </c>
      <c r="Y2" s="32" t="s">
        <v>13</v>
      </c>
      <c r="Z2" s="32" t="s">
        <v>14</v>
      </c>
      <c r="AA2" s="32" t="s">
        <v>15</v>
      </c>
      <c r="AB2" s="32" t="s">
        <v>16</v>
      </c>
      <c r="AC2" s="32" t="s">
        <v>17</v>
      </c>
      <c r="AD2" s="32" t="s">
        <v>18</v>
      </c>
      <c r="AE2" s="32" t="s">
        <v>19</v>
      </c>
      <c r="AF2" s="32" t="s">
        <v>20</v>
      </c>
      <c r="AG2" s="32" t="s">
        <v>21</v>
      </c>
      <c r="AH2" s="32" t="s">
        <v>22</v>
      </c>
      <c r="AI2" s="32" t="s">
        <v>23</v>
      </c>
      <c r="AJ2" s="32" t="s">
        <v>24</v>
      </c>
      <c r="AK2" s="32" t="s">
        <v>25</v>
      </c>
      <c r="AL2" s="32" t="s">
        <v>26</v>
      </c>
      <c r="AM2" s="32" t="s">
        <v>27</v>
      </c>
      <c r="AN2" s="32" t="s">
        <v>28</v>
      </c>
      <c r="AO2" s="32" t="s">
        <v>29</v>
      </c>
      <c r="AP2" s="32" t="s">
        <v>30</v>
      </c>
      <c r="AQ2" s="32" t="s">
        <v>31</v>
      </c>
      <c r="AR2" s="32" t="s">
        <v>32</v>
      </c>
    </row>
    <row r="3" spans="1:54" x14ac:dyDescent="0.25">
      <c r="A3" s="26" t="s">
        <v>57</v>
      </c>
      <c r="B3" s="27">
        <v>6.37</v>
      </c>
      <c r="C3" s="28" t="s">
        <v>43</v>
      </c>
      <c r="E3" s="26"/>
      <c r="H3" s="26" t="s">
        <v>37</v>
      </c>
      <c r="I3" s="31" t="s">
        <v>45</v>
      </c>
      <c r="J3" s="33">
        <f>SUM(L3:BB3)</f>
        <v>0.999999999999999</v>
      </c>
      <c r="L3" s="45">
        <v>2.3980815347721799E-3</v>
      </c>
      <c r="M3" s="45">
        <v>2.3980815347721799E-3</v>
      </c>
      <c r="N3" s="45">
        <v>2.7406646111682001E-3</v>
      </c>
      <c r="O3" s="45">
        <v>3.42583076396026E-3</v>
      </c>
      <c r="P3" s="45">
        <v>4.4535799931483301E-3</v>
      </c>
      <c r="Q3" s="45">
        <v>5.4813292223364098E-3</v>
      </c>
      <c r="R3" s="45">
        <v>1.1990407673860899E-2</v>
      </c>
      <c r="S3" s="45">
        <v>1.3703323055841E-2</v>
      </c>
      <c r="T3" s="45">
        <v>2.1925316889345601E-2</v>
      </c>
      <c r="U3" s="45">
        <v>3.2545392257622402E-2</v>
      </c>
      <c r="V3" s="45">
        <v>4.4878383007879399E-2</v>
      </c>
      <c r="W3" s="45">
        <v>5.2415210688591903E-2</v>
      </c>
      <c r="X3" s="45">
        <v>6.3720452209660799E-2</v>
      </c>
      <c r="Y3" s="45">
        <v>6.4748201438848907E-2</v>
      </c>
      <c r="Z3" s="45">
        <v>6.0637204522096602E-2</v>
      </c>
      <c r="AA3" s="45">
        <v>6.6118533744432995E-2</v>
      </c>
      <c r="AB3" s="45">
        <v>5.82391229873244E-2</v>
      </c>
      <c r="AC3" s="45">
        <v>6.9201781431997206E-2</v>
      </c>
      <c r="AD3" s="45">
        <v>5.7896539910928399E-2</v>
      </c>
      <c r="AE3" s="45">
        <v>5.0359712230215799E-2</v>
      </c>
      <c r="AF3" s="45">
        <v>4.9674546077423699E-2</v>
      </c>
      <c r="AG3" s="45">
        <v>5.2072627612195901E-2</v>
      </c>
      <c r="AH3" s="45">
        <v>4.7961630695443597E-2</v>
      </c>
      <c r="AI3" s="45">
        <v>4.2480301473107197E-2</v>
      </c>
      <c r="AJ3" s="45">
        <v>4.0424803014731003E-2</v>
      </c>
      <c r="AK3" s="45">
        <v>3.0489893799246302E-2</v>
      </c>
      <c r="AL3" s="45">
        <v>2.2267899965741599E-2</v>
      </c>
      <c r="AM3" s="45">
        <v>1.09626584446728E-2</v>
      </c>
      <c r="AN3" s="45">
        <v>7.1942446043165402E-3</v>
      </c>
      <c r="AO3" s="45">
        <v>4.1109969167523099E-3</v>
      </c>
      <c r="AP3" s="45">
        <v>1.71291538198013E-3</v>
      </c>
      <c r="AQ3" s="45">
        <v>6.8516615279205198E-4</v>
      </c>
      <c r="AR3" s="45">
        <v>6.8516615279205198E-4</v>
      </c>
      <c r="AS3" s="34"/>
      <c r="AT3" s="34"/>
      <c r="AU3" s="34"/>
      <c r="AV3" s="34"/>
      <c r="AW3" s="34"/>
      <c r="AX3" s="34"/>
      <c r="AY3" s="34"/>
      <c r="AZ3" s="34"/>
      <c r="BA3" s="34"/>
      <c r="BB3" s="34"/>
    </row>
    <row r="4" spans="1:54" ht="30" x14ac:dyDescent="0.25">
      <c r="A4" s="35" t="s">
        <v>111</v>
      </c>
      <c r="B4" s="27">
        <v>201600</v>
      </c>
      <c r="C4" s="28" t="s">
        <v>50</v>
      </c>
      <c r="E4" s="26"/>
      <c r="H4" s="35" t="s">
        <v>115</v>
      </c>
      <c r="I4" s="31" t="s">
        <v>44</v>
      </c>
      <c r="J4" s="29">
        <f>SUM(L4:BB4)</f>
        <v>242.2499999999998</v>
      </c>
      <c r="L4" s="46">
        <f t="shared" ref="L4:AR4" si="0">L3*$B$2</f>
        <v>0.58093525179856054</v>
      </c>
      <c r="M4" s="46">
        <f t="shared" si="0"/>
        <v>0.58093525179856054</v>
      </c>
      <c r="N4" s="46">
        <f t="shared" si="0"/>
        <v>0.66392600205549646</v>
      </c>
      <c r="O4" s="46">
        <f t="shared" si="0"/>
        <v>0.82990750256937296</v>
      </c>
      <c r="P4" s="46">
        <f t="shared" si="0"/>
        <v>1.078879753340183</v>
      </c>
      <c r="Q4" s="46">
        <f t="shared" si="0"/>
        <v>1.3278520041109954</v>
      </c>
      <c r="R4" s="46">
        <f t="shared" si="0"/>
        <v>2.904676258992803</v>
      </c>
      <c r="S4" s="46">
        <f t="shared" si="0"/>
        <v>3.3196300102774821</v>
      </c>
      <c r="T4" s="46">
        <f t="shared" si="0"/>
        <v>5.3114080164439716</v>
      </c>
      <c r="U4" s="46">
        <f t="shared" si="0"/>
        <v>7.8841212744090265</v>
      </c>
      <c r="V4" s="46">
        <f t="shared" si="0"/>
        <v>10.871788283658784</v>
      </c>
      <c r="W4" s="46">
        <f t="shared" si="0"/>
        <v>12.697584789311389</v>
      </c>
      <c r="X4" s="46">
        <f t="shared" si="0"/>
        <v>15.436279547790329</v>
      </c>
      <c r="Y4" s="46">
        <f t="shared" si="0"/>
        <v>15.685251798561147</v>
      </c>
      <c r="Z4" s="46">
        <f t="shared" si="0"/>
        <v>14.689362795477901</v>
      </c>
      <c r="AA4" s="46">
        <f t="shared" si="0"/>
        <v>16.017214799588892</v>
      </c>
      <c r="AB4" s="46">
        <f t="shared" si="0"/>
        <v>14.108427543679335</v>
      </c>
      <c r="AC4" s="46">
        <f t="shared" si="0"/>
        <v>16.764131551901322</v>
      </c>
      <c r="AD4" s="46">
        <f t="shared" si="0"/>
        <v>14.025436793422404</v>
      </c>
      <c r="AE4" s="46">
        <f t="shared" si="0"/>
        <v>12.199640287769776</v>
      </c>
      <c r="AF4" s="46">
        <f t="shared" si="0"/>
        <v>12.033658787255892</v>
      </c>
      <c r="AG4" s="46">
        <f t="shared" si="0"/>
        <v>12.614594039054458</v>
      </c>
      <c r="AH4" s="46">
        <f t="shared" si="0"/>
        <v>11.618705035971212</v>
      </c>
      <c r="AI4" s="46">
        <f t="shared" si="0"/>
        <v>10.290853031860218</v>
      </c>
      <c r="AJ4" s="46">
        <f t="shared" si="0"/>
        <v>9.7929085303185861</v>
      </c>
      <c r="AK4" s="46">
        <f t="shared" si="0"/>
        <v>7.3861767728674161</v>
      </c>
      <c r="AL4" s="46">
        <f t="shared" si="0"/>
        <v>5.3943987667009026</v>
      </c>
      <c r="AM4" s="46">
        <f t="shared" si="0"/>
        <v>2.6557040082219858</v>
      </c>
      <c r="AN4" s="46">
        <f t="shared" si="0"/>
        <v>1.7428057553956819</v>
      </c>
      <c r="AO4" s="46">
        <f t="shared" si="0"/>
        <v>0.99588900308324713</v>
      </c>
      <c r="AP4" s="46">
        <f t="shared" si="0"/>
        <v>0.41495375128468648</v>
      </c>
      <c r="AQ4" s="46">
        <f t="shared" si="0"/>
        <v>0.16598150051387459</v>
      </c>
      <c r="AR4" s="46">
        <f t="shared" si="0"/>
        <v>0.16598150051387459</v>
      </c>
    </row>
    <row r="5" spans="1:54" ht="30" customHeight="1" x14ac:dyDescent="0.25">
      <c r="A5" s="26" t="s">
        <v>54</v>
      </c>
      <c r="B5" s="27">
        <v>20</v>
      </c>
      <c r="C5" s="28" t="s">
        <v>43</v>
      </c>
      <c r="D5" s="35" t="s">
        <v>59</v>
      </c>
      <c r="E5" s="36">
        <f>B4/B2/(20-B3)</f>
        <v>61.056356743570113</v>
      </c>
      <c r="F5" s="37" t="s">
        <v>60</v>
      </c>
      <c r="H5" s="35" t="s">
        <v>62</v>
      </c>
      <c r="I5" s="31" t="s">
        <v>43</v>
      </c>
      <c r="L5" s="46">
        <v>-10</v>
      </c>
      <c r="M5" s="46">
        <v>-9</v>
      </c>
      <c r="N5" s="46">
        <v>-8</v>
      </c>
      <c r="O5" s="46">
        <v>-7</v>
      </c>
      <c r="P5" s="46">
        <v>-6</v>
      </c>
      <c r="Q5" s="46">
        <v>-5</v>
      </c>
      <c r="R5" s="46">
        <v>-4</v>
      </c>
      <c r="S5" s="46">
        <v>-3</v>
      </c>
      <c r="T5" s="46">
        <v>-2</v>
      </c>
      <c r="U5" s="46">
        <v>-1</v>
      </c>
      <c r="V5" s="46">
        <v>0</v>
      </c>
      <c r="W5" s="46">
        <v>1</v>
      </c>
      <c r="X5" s="46">
        <v>2</v>
      </c>
      <c r="Y5" s="46">
        <v>3</v>
      </c>
      <c r="Z5" s="46">
        <v>4</v>
      </c>
      <c r="AA5" s="46">
        <v>5</v>
      </c>
      <c r="AB5" s="46">
        <v>6</v>
      </c>
      <c r="AC5" s="46">
        <v>7</v>
      </c>
      <c r="AD5" s="46">
        <v>8</v>
      </c>
      <c r="AE5" s="46">
        <v>9</v>
      </c>
      <c r="AF5" s="46">
        <v>10</v>
      </c>
      <c r="AG5" s="46">
        <v>11</v>
      </c>
      <c r="AH5" s="46">
        <v>12</v>
      </c>
      <c r="AI5" s="46">
        <v>13</v>
      </c>
      <c r="AJ5" s="46">
        <v>14</v>
      </c>
      <c r="AK5" s="46">
        <v>15</v>
      </c>
      <c r="AL5" s="46">
        <v>16</v>
      </c>
      <c r="AM5" s="46">
        <v>17</v>
      </c>
      <c r="AN5" s="46">
        <v>18</v>
      </c>
      <c r="AO5" s="46">
        <v>19</v>
      </c>
      <c r="AP5" s="46">
        <v>19.998999999999999</v>
      </c>
      <c r="AQ5" s="46">
        <v>19.998999999999999</v>
      </c>
      <c r="AR5" s="46">
        <v>19.998999999999999</v>
      </c>
    </row>
    <row r="6" spans="1:54" ht="30.75" customHeight="1" x14ac:dyDescent="0.25">
      <c r="A6" s="35" t="s">
        <v>55</v>
      </c>
      <c r="B6" s="27">
        <f>B5</f>
        <v>20</v>
      </c>
      <c r="C6" s="28" t="s">
        <v>43</v>
      </c>
      <c r="D6" s="26"/>
      <c r="E6" s="26"/>
      <c r="H6" s="26" t="s">
        <v>40</v>
      </c>
      <c r="I6" s="31" t="s">
        <v>53</v>
      </c>
      <c r="L6" s="46">
        <f>L5+273.15</f>
        <v>263.14999999999998</v>
      </c>
      <c r="M6" s="46">
        <f t="shared" ref="M6:AR6" si="1">M5+273.15</f>
        <v>264.14999999999998</v>
      </c>
      <c r="N6" s="46">
        <f t="shared" si="1"/>
        <v>265.14999999999998</v>
      </c>
      <c r="O6" s="46">
        <f t="shared" si="1"/>
        <v>266.14999999999998</v>
      </c>
      <c r="P6" s="46">
        <f t="shared" si="1"/>
        <v>267.14999999999998</v>
      </c>
      <c r="Q6" s="46">
        <f t="shared" si="1"/>
        <v>268.14999999999998</v>
      </c>
      <c r="R6" s="46">
        <f t="shared" si="1"/>
        <v>269.14999999999998</v>
      </c>
      <c r="S6" s="46">
        <f t="shared" si="1"/>
        <v>270.14999999999998</v>
      </c>
      <c r="T6" s="46">
        <f t="shared" si="1"/>
        <v>271.14999999999998</v>
      </c>
      <c r="U6" s="46">
        <f t="shared" si="1"/>
        <v>272.14999999999998</v>
      </c>
      <c r="V6" s="46">
        <f t="shared" si="1"/>
        <v>273.14999999999998</v>
      </c>
      <c r="W6" s="46">
        <f t="shared" si="1"/>
        <v>274.14999999999998</v>
      </c>
      <c r="X6" s="46">
        <f t="shared" si="1"/>
        <v>275.14999999999998</v>
      </c>
      <c r="Y6" s="46">
        <f t="shared" si="1"/>
        <v>276.14999999999998</v>
      </c>
      <c r="Z6" s="46">
        <f t="shared" si="1"/>
        <v>277.14999999999998</v>
      </c>
      <c r="AA6" s="46">
        <f t="shared" si="1"/>
        <v>278.14999999999998</v>
      </c>
      <c r="AB6" s="46">
        <f t="shared" si="1"/>
        <v>279.14999999999998</v>
      </c>
      <c r="AC6" s="46">
        <f t="shared" si="1"/>
        <v>280.14999999999998</v>
      </c>
      <c r="AD6" s="46">
        <f t="shared" si="1"/>
        <v>281.14999999999998</v>
      </c>
      <c r="AE6" s="46">
        <f t="shared" si="1"/>
        <v>282.14999999999998</v>
      </c>
      <c r="AF6" s="46">
        <f t="shared" si="1"/>
        <v>283.14999999999998</v>
      </c>
      <c r="AG6" s="46">
        <f t="shared" si="1"/>
        <v>284.14999999999998</v>
      </c>
      <c r="AH6" s="46">
        <f t="shared" si="1"/>
        <v>285.14999999999998</v>
      </c>
      <c r="AI6" s="46">
        <f t="shared" si="1"/>
        <v>286.14999999999998</v>
      </c>
      <c r="AJ6" s="46">
        <f t="shared" si="1"/>
        <v>287.14999999999998</v>
      </c>
      <c r="AK6" s="46">
        <f t="shared" si="1"/>
        <v>288.14999999999998</v>
      </c>
      <c r="AL6" s="46">
        <f t="shared" si="1"/>
        <v>289.14999999999998</v>
      </c>
      <c r="AM6" s="46">
        <f t="shared" si="1"/>
        <v>290.14999999999998</v>
      </c>
      <c r="AN6" s="46">
        <f t="shared" si="1"/>
        <v>291.14999999999998</v>
      </c>
      <c r="AO6" s="46">
        <f t="shared" si="1"/>
        <v>292.14999999999998</v>
      </c>
      <c r="AP6" s="46">
        <f t="shared" si="1"/>
        <v>293.149</v>
      </c>
      <c r="AQ6" s="46">
        <f t="shared" si="1"/>
        <v>293.149</v>
      </c>
      <c r="AR6" s="46">
        <f t="shared" si="1"/>
        <v>293.149</v>
      </c>
    </row>
    <row r="7" spans="1:54" x14ac:dyDescent="0.25">
      <c r="A7" s="26" t="s">
        <v>56</v>
      </c>
      <c r="B7" s="27">
        <v>1.65</v>
      </c>
      <c r="C7" s="28"/>
      <c r="D7" s="26"/>
      <c r="E7" s="26"/>
      <c r="H7" s="2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</row>
    <row r="8" spans="1:54" x14ac:dyDescent="0.25">
      <c r="A8" s="26"/>
      <c r="B8" s="26"/>
      <c r="D8" s="26"/>
      <c r="E8" s="26"/>
      <c r="H8" s="26" t="s">
        <v>47</v>
      </c>
      <c r="I8" s="31" t="s">
        <v>48</v>
      </c>
      <c r="L8" s="46">
        <f>(20-L5)*$E$5</f>
        <v>1831.6907023071035</v>
      </c>
      <c r="M8" s="46">
        <f t="shared" ref="M8:AR8" si="2">(20-M5)*$E$5</f>
        <v>1770.6343455635333</v>
      </c>
      <c r="N8" s="46">
        <f t="shared" si="2"/>
        <v>1709.5779888199631</v>
      </c>
      <c r="O8" s="46">
        <f t="shared" si="2"/>
        <v>1648.521632076393</v>
      </c>
      <c r="P8" s="46">
        <f t="shared" si="2"/>
        <v>1587.465275332823</v>
      </c>
      <c r="Q8" s="46">
        <f t="shared" si="2"/>
        <v>1526.4089185892528</v>
      </c>
      <c r="R8" s="46">
        <f t="shared" si="2"/>
        <v>1465.3525618456827</v>
      </c>
      <c r="S8" s="46">
        <f t="shared" si="2"/>
        <v>1404.2962051021127</v>
      </c>
      <c r="T8" s="46">
        <f t="shared" si="2"/>
        <v>1343.2398483585425</v>
      </c>
      <c r="U8" s="46">
        <f t="shared" si="2"/>
        <v>1282.1834916149724</v>
      </c>
      <c r="V8" s="46">
        <f t="shared" si="2"/>
        <v>1221.1271348714022</v>
      </c>
      <c r="W8" s="46">
        <f t="shared" si="2"/>
        <v>1160.0707781278322</v>
      </c>
      <c r="X8" s="46">
        <f t="shared" si="2"/>
        <v>1099.0144213842621</v>
      </c>
      <c r="Y8" s="46">
        <f t="shared" si="2"/>
        <v>1037.9580646406919</v>
      </c>
      <c r="Z8" s="46">
        <f t="shared" si="2"/>
        <v>976.90170789712181</v>
      </c>
      <c r="AA8" s="46">
        <f t="shared" si="2"/>
        <v>915.84535115355175</v>
      </c>
      <c r="AB8" s="46">
        <f t="shared" si="2"/>
        <v>854.78899440998157</v>
      </c>
      <c r="AC8" s="46">
        <f t="shared" si="2"/>
        <v>793.73263766641151</v>
      </c>
      <c r="AD8" s="46">
        <f t="shared" si="2"/>
        <v>732.67628092284133</v>
      </c>
      <c r="AE8" s="46">
        <f t="shared" si="2"/>
        <v>671.61992417927127</v>
      </c>
      <c r="AF8" s="46">
        <f t="shared" si="2"/>
        <v>610.56356743570109</v>
      </c>
      <c r="AG8" s="46">
        <f t="shared" si="2"/>
        <v>549.50721069213103</v>
      </c>
      <c r="AH8" s="46">
        <f t="shared" si="2"/>
        <v>488.4508539485609</v>
      </c>
      <c r="AI8" s="46">
        <f t="shared" si="2"/>
        <v>427.39449720499078</v>
      </c>
      <c r="AJ8" s="46">
        <f t="shared" si="2"/>
        <v>366.33814046142066</v>
      </c>
      <c r="AK8" s="46">
        <f t="shared" si="2"/>
        <v>305.28178371785054</v>
      </c>
      <c r="AL8" s="46">
        <f t="shared" si="2"/>
        <v>244.22542697428045</v>
      </c>
      <c r="AM8" s="46">
        <f t="shared" si="2"/>
        <v>183.16907023071033</v>
      </c>
      <c r="AN8" s="46">
        <f t="shared" si="2"/>
        <v>122.11271348714023</v>
      </c>
      <c r="AO8" s="46">
        <f t="shared" si="2"/>
        <v>61.056356743570113</v>
      </c>
      <c r="AP8" s="46">
        <f t="shared" si="2"/>
        <v>6.1056356743644735E-2</v>
      </c>
      <c r="AQ8" s="46">
        <f t="shared" si="2"/>
        <v>6.1056356743644735E-2</v>
      </c>
      <c r="AR8" s="46">
        <f t="shared" si="2"/>
        <v>6.1056356743644735E-2</v>
      </c>
    </row>
    <row r="9" spans="1:54" ht="29.25" customHeight="1" x14ac:dyDescent="0.25">
      <c r="A9" s="26"/>
      <c r="B9" s="26"/>
      <c r="D9" s="26"/>
      <c r="E9" s="26"/>
      <c r="H9" s="35" t="s">
        <v>118</v>
      </c>
      <c r="I9" s="31" t="s">
        <v>50</v>
      </c>
      <c r="J9" s="38">
        <f>SUM(L9:BB9)</f>
        <v>200875.60047926422</v>
      </c>
      <c r="L9" s="46">
        <f>L8*L4</f>
        <v>1064.0936993618593</v>
      </c>
      <c r="M9" s="46">
        <f t="shared" ref="M9:AR9" si="3">M8*M4</f>
        <v>1028.6239093831307</v>
      </c>
      <c r="N9" s="46">
        <f t="shared" si="3"/>
        <v>1135.0332793193143</v>
      </c>
      <c r="O9" s="46">
        <f t="shared" si="3"/>
        <v>1368.120470608106</v>
      </c>
      <c r="P9" s="46">
        <f t="shared" si="3"/>
        <v>1712.6841446871817</v>
      </c>
      <c r="Q9" s="46">
        <f t="shared" si="3"/>
        <v>2026.8451416416365</v>
      </c>
      <c r="R9" s="46">
        <f t="shared" si="3"/>
        <v>4256.3747974474372</v>
      </c>
      <c r="S9" s="46">
        <f t="shared" si="3"/>
        <v>4661.7438257757558</v>
      </c>
      <c r="T9" s="46">
        <f t="shared" si="3"/>
        <v>7134.4948985785477</v>
      </c>
      <c r="U9" s="46">
        <f t="shared" si="3"/>
        <v>10108.890143937651</v>
      </c>
      <c r="V9" s="46">
        <f t="shared" si="3"/>
        <v>13275.83567775273</v>
      </c>
      <c r="W9" s="46">
        <f t="shared" si="3"/>
        <v>14730.097066880589</v>
      </c>
      <c r="X9" s="46">
        <f t="shared" si="3"/>
        <v>16964.693835540507</v>
      </c>
      <c r="Y9" s="46">
        <f t="shared" si="3"/>
        <v>16280.633600236459</v>
      </c>
      <c r="Z9" s="46">
        <f t="shared" si="3"/>
        <v>14350.063602822802</v>
      </c>
      <c r="AA9" s="46">
        <f t="shared" si="3"/>
        <v>14669.291712631355</v>
      </c>
      <c r="AB9" s="46">
        <f t="shared" si="3"/>
        <v>12059.728592767746</v>
      </c>
      <c r="AC9" s="46">
        <f t="shared" si="3"/>
        <v>13306.238354877349</v>
      </c>
      <c r="AD9" s="46">
        <f t="shared" si="3"/>
        <v>10276.104868123108</v>
      </c>
      <c r="AE9" s="46">
        <f t="shared" si="3"/>
        <v>8193.5214850863213</v>
      </c>
      <c r="AF9" s="46">
        <f t="shared" si="3"/>
        <v>7347.3136384509298</v>
      </c>
      <c r="AG9" s="46">
        <f t="shared" si="3"/>
        <v>6931.810384414398</v>
      </c>
      <c r="AH9" s="46">
        <f t="shared" si="3"/>
        <v>5675.1663965965836</v>
      </c>
      <c r="AI9" s="46">
        <f t="shared" si="3"/>
        <v>4398.2539573623526</v>
      </c>
      <c r="AJ9" s="46">
        <f t="shared" si="3"/>
        <v>3587.515900705695</v>
      </c>
      <c r="AK9" s="46">
        <f t="shared" si="3"/>
        <v>2254.8652200763217</v>
      </c>
      <c r="AL9" s="46">
        <f t="shared" si="3"/>
        <v>1317.4493420670599</v>
      </c>
      <c r="AM9" s="46">
        <f t="shared" si="3"/>
        <v>486.44283399399183</v>
      </c>
      <c r="AN9" s="46">
        <f t="shared" si="3"/>
        <v>212.81873987237191</v>
      </c>
      <c r="AO9" s="46">
        <f t="shared" si="3"/>
        <v>60.805354249249135</v>
      </c>
      <c r="AP9" s="46">
        <f t="shared" si="3"/>
        <v>2.5335564270551447E-2</v>
      </c>
      <c r="AQ9" s="46">
        <f t="shared" si="3"/>
        <v>1.0134225708220578E-2</v>
      </c>
      <c r="AR9" s="46">
        <f t="shared" si="3"/>
        <v>1.0134225708220578E-2</v>
      </c>
    </row>
    <row r="10" spans="1:54" x14ac:dyDescent="0.25">
      <c r="A10" s="26"/>
      <c r="B10" s="26"/>
      <c r="D10" s="26"/>
      <c r="E10" s="26"/>
      <c r="H10" s="26" t="s">
        <v>52</v>
      </c>
      <c r="I10" s="31" t="s">
        <v>43</v>
      </c>
      <c r="L10" s="46">
        <f>20+$B$7*2.125*(20-L5)^0.78</f>
        <v>69.773417082366706</v>
      </c>
      <c r="M10" s="46">
        <f t="shared" ref="M10:AR10" si="4">20+$B$7*2.125*(20-M5)^0.78</f>
        <v>68.47449763434517</v>
      </c>
      <c r="N10" s="46">
        <f t="shared" si="4"/>
        <v>67.165684657944126</v>
      </c>
      <c r="O10" s="46">
        <f t="shared" si="4"/>
        <v>65.846545198315411</v>
      </c>
      <c r="P10" s="46">
        <f t="shared" si="4"/>
        <v>64.516610533756904</v>
      </c>
      <c r="Q10" s="46">
        <f t="shared" si="4"/>
        <v>63.17537172338244</v>
      </c>
      <c r="R10" s="46">
        <f t="shared" si="4"/>
        <v>61.82227439904284</v>
      </c>
      <c r="S10" s="46">
        <f t="shared" si="4"/>
        <v>60.456712636124252</v>
      </c>
      <c r="T10" s="46">
        <f t="shared" si="4"/>
        <v>59.078021692830504</v>
      </c>
      <c r="U10" s="46">
        <f t="shared" si="4"/>
        <v>57.685469347653978</v>
      </c>
      <c r="V10" s="46">
        <f t="shared" si="4"/>
        <v>56.278245484087535</v>
      </c>
      <c r="W10" s="46">
        <f t="shared" si="4"/>
        <v>54.855449461619941</v>
      </c>
      <c r="X10" s="46">
        <f t="shared" si="4"/>
        <v>53.416074659881765</v>
      </c>
      <c r="Y10" s="46">
        <f t="shared" si="4"/>
        <v>51.958989369017715</v>
      </c>
      <c r="Z10" s="46">
        <f t="shared" si="4"/>
        <v>50.482912893855925</v>
      </c>
      <c r="AA10" s="46">
        <f t="shared" si="4"/>
        <v>48.98638529456764</v>
      </c>
      <c r="AB10" s="46">
        <f t="shared" si="4"/>
        <v>47.467728524943752</v>
      </c>
      <c r="AC10" s="46">
        <f t="shared" si="4"/>
        <v>45.924995722201054</v>
      </c>
      <c r="AD10" s="46">
        <f t="shared" si="4"/>
        <v>44.355903827532515</v>
      </c>
      <c r="AE10" s="46">
        <f t="shared" si="4"/>
        <v>42.75774217919129</v>
      </c>
      <c r="AF10" s="46">
        <f t="shared" si="4"/>
        <v>41.127245486732178</v>
      </c>
      <c r="AG10" s="46">
        <f t="shared" si="4"/>
        <v>39.460412242150895</v>
      </c>
      <c r="AH10" s="46">
        <f t="shared" si="4"/>
        <v>37.752236230433169</v>
      </c>
      <c r="AI10" s="46">
        <f t="shared" si="4"/>
        <v>35.996292978499824</v>
      </c>
      <c r="AJ10" s="46">
        <f t="shared" si="4"/>
        <v>34.184069608361369</v>
      </c>
      <c r="AK10" s="46">
        <f t="shared" si="4"/>
        <v>32.303806203980528</v>
      </c>
      <c r="AL10" s="46">
        <f t="shared" si="4"/>
        <v>30.338312886253846</v>
      </c>
      <c r="AM10" s="46">
        <f t="shared" si="4"/>
        <v>28.260331132832484</v>
      </c>
      <c r="AN10" s="46">
        <f t="shared" si="4"/>
        <v>26.020690123019747</v>
      </c>
      <c r="AO10" s="46">
        <f t="shared" si="4"/>
        <v>23.506250000000001</v>
      </c>
      <c r="AP10" s="46">
        <f t="shared" si="4"/>
        <v>20.016026654648385</v>
      </c>
      <c r="AQ10" s="46">
        <f t="shared" si="4"/>
        <v>20.016026654648385</v>
      </c>
      <c r="AR10" s="46">
        <f t="shared" si="4"/>
        <v>20.016026654648385</v>
      </c>
    </row>
    <row r="11" spans="1:54" x14ac:dyDescent="0.25">
      <c r="A11" s="26"/>
      <c r="B11" s="26"/>
      <c r="D11" s="26"/>
      <c r="E11" s="26"/>
      <c r="H11" s="26" t="s">
        <v>76</v>
      </c>
      <c r="I11" s="31" t="s">
        <v>53</v>
      </c>
      <c r="L11" s="46">
        <f>L10+273.15</f>
        <v>342.92341708236665</v>
      </c>
      <c r="M11" s="46">
        <f t="shared" ref="M11:AR11" si="5">M10+273.15</f>
        <v>341.62449763434518</v>
      </c>
      <c r="N11" s="46">
        <f t="shared" si="5"/>
        <v>340.31568465794408</v>
      </c>
      <c r="O11" s="46">
        <f t="shared" si="5"/>
        <v>338.9965451983154</v>
      </c>
      <c r="P11" s="46">
        <f t="shared" si="5"/>
        <v>337.66661053375685</v>
      </c>
      <c r="Q11" s="46">
        <f t="shared" si="5"/>
        <v>336.32537172338243</v>
      </c>
      <c r="R11" s="46">
        <f t="shared" si="5"/>
        <v>334.97227439904282</v>
      </c>
      <c r="S11" s="46">
        <f t="shared" si="5"/>
        <v>333.60671263612426</v>
      </c>
      <c r="T11" s="46">
        <f t="shared" si="5"/>
        <v>332.22802169283045</v>
      </c>
      <c r="U11" s="46">
        <f t="shared" si="5"/>
        <v>330.83546934765394</v>
      </c>
      <c r="V11" s="46">
        <f t="shared" si="5"/>
        <v>329.42824548408748</v>
      </c>
      <c r="W11" s="46">
        <f t="shared" si="5"/>
        <v>328.00544946161995</v>
      </c>
      <c r="X11" s="46">
        <f t="shared" si="5"/>
        <v>326.56607465988174</v>
      </c>
      <c r="Y11" s="46">
        <f t="shared" si="5"/>
        <v>325.10898936901771</v>
      </c>
      <c r="Z11" s="46">
        <f t="shared" si="5"/>
        <v>323.63291289385592</v>
      </c>
      <c r="AA11" s="46">
        <f t="shared" si="5"/>
        <v>322.13638529456762</v>
      </c>
      <c r="AB11" s="46">
        <f t="shared" si="5"/>
        <v>320.61772852494374</v>
      </c>
      <c r="AC11" s="46">
        <f t="shared" si="5"/>
        <v>319.07499572220104</v>
      </c>
      <c r="AD11" s="46">
        <f t="shared" si="5"/>
        <v>317.50590382753251</v>
      </c>
      <c r="AE11" s="46">
        <f t="shared" si="5"/>
        <v>315.90774217919125</v>
      </c>
      <c r="AF11" s="46">
        <f t="shared" si="5"/>
        <v>314.27724548673217</v>
      </c>
      <c r="AG11" s="46">
        <f t="shared" si="5"/>
        <v>312.61041224215086</v>
      </c>
      <c r="AH11" s="46">
        <f t="shared" si="5"/>
        <v>310.90223623043312</v>
      </c>
      <c r="AI11" s="46">
        <f t="shared" si="5"/>
        <v>309.14629297849979</v>
      </c>
      <c r="AJ11" s="46">
        <f t="shared" si="5"/>
        <v>307.33406960836135</v>
      </c>
      <c r="AK11" s="46">
        <f t="shared" si="5"/>
        <v>305.45380620398049</v>
      </c>
      <c r="AL11" s="46">
        <f t="shared" si="5"/>
        <v>303.48831288625382</v>
      </c>
      <c r="AM11" s="46">
        <f t="shared" si="5"/>
        <v>301.41033113283248</v>
      </c>
      <c r="AN11" s="46">
        <f t="shared" si="5"/>
        <v>299.17069012301971</v>
      </c>
      <c r="AO11" s="46">
        <f t="shared" si="5"/>
        <v>296.65625</v>
      </c>
      <c r="AP11" s="46">
        <f t="shared" si="5"/>
        <v>293.16602665464836</v>
      </c>
      <c r="AQ11" s="46">
        <f t="shared" si="5"/>
        <v>293.16602665464836</v>
      </c>
      <c r="AR11" s="46">
        <f t="shared" si="5"/>
        <v>293.16602665464836</v>
      </c>
    </row>
    <row r="12" spans="1:54" ht="4.5" customHeight="1" x14ac:dyDescent="0.25">
      <c r="A12" s="26"/>
      <c r="B12" s="26"/>
      <c r="D12" s="26"/>
      <c r="E12" s="26"/>
      <c r="H12" s="2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</row>
    <row r="13" spans="1:54" ht="30" x14ac:dyDescent="0.25">
      <c r="A13" s="26" t="s">
        <v>73</v>
      </c>
      <c r="B13" s="27">
        <v>8</v>
      </c>
      <c r="C13" s="28" t="s">
        <v>43</v>
      </c>
      <c r="D13" s="35" t="s">
        <v>74</v>
      </c>
      <c r="E13" s="39">
        <f>B13+273.15</f>
        <v>281.14999999999998</v>
      </c>
      <c r="F13" s="37" t="s">
        <v>53</v>
      </c>
      <c r="H13" s="26" t="s">
        <v>46</v>
      </c>
      <c r="L13" s="46">
        <f t="shared" ref="L13:AR13" si="6">L$11/(L$11-$E$13)*$B$14</f>
        <v>2.8866814449500873</v>
      </c>
      <c r="M13" s="46">
        <f t="shared" si="6"/>
        <v>2.9375149148650386</v>
      </c>
      <c r="N13" s="46">
        <f t="shared" si="6"/>
        <v>2.9909931245656627</v>
      </c>
      <c r="O13" s="46">
        <f t="shared" si="6"/>
        <v>3.0473419440830751</v>
      </c>
      <c r="P13" s="46">
        <f t="shared" si="6"/>
        <v>3.1068147190581645</v>
      </c>
      <c r="Q13" s="46">
        <f t="shared" si="6"/>
        <v>3.1696966931723196</v>
      </c>
      <c r="R13" s="46">
        <f t="shared" si="6"/>
        <v>3.2363103312222705</v>
      </c>
      <c r="S13" s="46">
        <f t="shared" si="6"/>
        <v>3.3070217681029606</v>
      </c>
      <c r="T13" s="46">
        <f t="shared" si="6"/>
        <v>3.3822486767243172</v>
      </c>
      <c r="U13" s="46">
        <f t="shared" si="6"/>
        <v>3.4624699397934364</v>
      </c>
      <c r="V13" s="46">
        <f t="shared" si="6"/>
        <v>3.548237636518643</v>
      </c>
      <c r="W13" s="46">
        <f t="shared" si="6"/>
        <v>3.6401920305930062</v>
      </c>
      <c r="X13" s="46">
        <f t="shared" si="6"/>
        <v>3.7390804928622297</v>
      </c>
      <c r="Y13" s="46">
        <f t="shared" si="6"/>
        <v>3.8457816455407472</v>
      </c>
      <c r="Z13" s="46">
        <f t="shared" si="6"/>
        <v>3.9613365290011409</v>
      </c>
      <c r="AA13" s="46">
        <f t="shared" si="6"/>
        <v>4.0869893538861835</v>
      </c>
      <c r="AB13" s="46">
        <f t="shared" si="6"/>
        <v>4.2242415528829396</v>
      </c>
      <c r="AC13" s="46">
        <f t="shared" si="6"/>
        <v>4.3749246273063278</v>
      </c>
      <c r="AD13" s="46">
        <f t="shared" si="6"/>
        <v>4.54130010832748</v>
      </c>
      <c r="AE13" s="46">
        <f t="shared" si="6"/>
        <v>4.7261995640075174</v>
      </c>
      <c r="AF13" s="46">
        <f t="shared" si="6"/>
        <v>4.9332253633509557</v>
      </c>
      <c r="AG13" s="46">
        <f t="shared" si="6"/>
        <v>5.1670465445498168</v>
      </c>
      <c r="AH13" s="46">
        <f t="shared" si="6"/>
        <v>5.4338491260853905</v>
      </c>
      <c r="AI13" s="46">
        <f t="shared" si="6"/>
        <v>5.7420485087891828</v>
      </c>
      <c r="AJ13" s="46">
        <f t="shared" si="6"/>
        <v>6.1034712551067507</v>
      </c>
      <c r="AK13" s="46">
        <f t="shared" si="6"/>
        <v>6.5354363795106076</v>
      </c>
      <c r="AL13" s="46">
        <f t="shared" si="6"/>
        <v>7.0647198606464467</v>
      </c>
      <c r="AM13" s="46">
        <f t="shared" si="6"/>
        <v>7.7359728802794114</v>
      </c>
      <c r="AN13" s="46">
        <f t="shared" si="6"/>
        <v>8.632785859030216</v>
      </c>
      <c r="AO13" s="46">
        <f t="shared" si="6"/>
        <v>9.9483272873841049</v>
      </c>
      <c r="AP13" s="46">
        <f t="shared" si="6"/>
        <v>12.686917085145071</v>
      </c>
      <c r="AQ13" s="46">
        <f t="shared" si="6"/>
        <v>12.686917085145071</v>
      </c>
      <c r="AR13" s="46">
        <f t="shared" si="6"/>
        <v>12.686917085145071</v>
      </c>
    </row>
    <row r="14" spans="1:54" ht="30" x14ac:dyDescent="0.25">
      <c r="A14" s="26" t="s">
        <v>75</v>
      </c>
      <c r="B14" s="40">
        <v>0.52</v>
      </c>
      <c r="C14" s="28"/>
      <c r="D14" s="35" t="s">
        <v>113</v>
      </c>
      <c r="E14" s="41">
        <f>J9/J15</f>
        <v>4.0167798668747015</v>
      </c>
      <c r="F14" s="37"/>
      <c r="H14" s="26" t="s">
        <v>77</v>
      </c>
      <c r="I14" s="31" t="s">
        <v>50</v>
      </c>
      <c r="L14" s="46">
        <f>L8/L13</f>
        <v>634.53163684251786</v>
      </c>
      <c r="M14" s="46">
        <f t="shared" ref="M14:AR14" si="7">M8/M13</f>
        <v>602.76607843023783</v>
      </c>
      <c r="N14" s="46">
        <f t="shared" si="7"/>
        <v>571.57536564655913</v>
      </c>
      <c r="O14" s="46">
        <f t="shared" si="7"/>
        <v>540.97034803635142</v>
      </c>
      <c r="P14" s="46">
        <f t="shared" si="7"/>
        <v>510.96232601024417</v>
      </c>
      <c r="Q14" s="46">
        <f t="shared" si="7"/>
        <v>481.56308516118014</v>
      </c>
      <c r="R14" s="46">
        <f t="shared" si="7"/>
        <v>452.78493465497081</v>
      </c>
      <c r="S14" s="46">
        <f t="shared" si="7"/>
        <v>424.64075037149604</v>
      </c>
      <c r="T14" s="46">
        <f t="shared" si="7"/>
        <v>397.14402362024441</v>
      </c>
      <c r="U14" s="46">
        <f t="shared" si="7"/>
        <v>370.3089164411532</v>
      </c>
      <c r="V14" s="46">
        <f t="shared" si="7"/>
        <v>344.15032474248608</v>
      </c>
      <c r="W14" s="46">
        <f t="shared" si="7"/>
        <v>318.68395084059637</v>
      </c>
      <c r="X14" s="46">
        <f t="shared" si="7"/>
        <v>293.92638737845874</v>
      </c>
      <c r="Y14" s="46">
        <f t="shared" si="7"/>
        <v>269.89521514936314</v>
      </c>
      <c r="Z14" s="46">
        <f t="shared" si="7"/>
        <v>246.60911809566696</v>
      </c>
      <c r="AA14" s="46">
        <f t="shared" si="7"/>
        <v>224.08801977492419</v>
      </c>
      <c r="AB14" s="46">
        <f t="shared" si="7"/>
        <v>202.35324701699631</v>
      </c>
      <c r="AC14" s="46">
        <f t="shared" si="7"/>
        <v>181.42772854011849</v>
      </c>
      <c r="AD14" s="46">
        <f t="shared" si="7"/>
        <v>161.33623928075508</v>
      </c>
      <c r="AE14" s="46">
        <f t="shared" si="7"/>
        <v>142.10570566973269</v>
      </c>
      <c r="AF14" s="46">
        <f t="shared" si="7"/>
        <v>123.76559400095358</v>
      </c>
      <c r="AG14" s="46">
        <f t="shared" si="7"/>
        <v>106.34841508670932</v>
      </c>
      <c r="AH14" s="46">
        <f t="shared" si="7"/>
        <v>89.890396773023156</v>
      </c>
      <c r="AI14" s="46">
        <f t="shared" si="7"/>
        <v>74.432407972658325</v>
      </c>
      <c r="AJ14" s="46">
        <f t="shared" si="7"/>
        <v>60.021277261674157</v>
      </c>
      <c r="AK14" s="46">
        <f t="shared" si="7"/>
        <v>46.711767354196311</v>
      </c>
      <c r="AL14" s="46">
        <f t="shared" si="7"/>
        <v>34.569725593044673</v>
      </c>
      <c r="AM14" s="46">
        <f t="shared" si="7"/>
        <v>23.677573986543571</v>
      </c>
      <c r="AN14" s="46">
        <f t="shared" si="7"/>
        <v>14.145226753123474</v>
      </c>
      <c r="AO14" s="46">
        <f t="shared" si="7"/>
        <v>6.1373490215785589</v>
      </c>
      <c r="AP14" s="46">
        <f t="shared" si="7"/>
        <v>4.8125447919207063E-3</v>
      </c>
      <c r="AQ14" s="46">
        <f t="shared" si="7"/>
        <v>4.8125447919207063E-3</v>
      </c>
      <c r="AR14" s="46">
        <f t="shared" si="7"/>
        <v>4.8125447919207063E-3</v>
      </c>
    </row>
    <row r="15" spans="1:54" ht="45" x14ac:dyDescent="0.25">
      <c r="A15" s="26"/>
      <c r="B15" s="26"/>
      <c r="D15" s="35" t="s">
        <v>107</v>
      </c>
      <c r="E15" s="42">
        <f>J15</f>
        <v>50009.11355283147</v>
      </c>
      <c r="F15" s="37" t="s">
        <v>50</v>
      </c>
      <c r="H15" s="35" t="s">
        <v>108</v>
      </c>
      <c r="I15" s="31" t="s">
        <v>50</v>
      </c>
      <c r="J15" s="38">
        <f>SUM(L15:BB15)</f>
        <v>50009.11355283147</v>
      </c>
      <c r="L15" s="46">
        <f>L14*L4</f>
        <v>368.6217962232609</v>
      </c>
      <c r="M15" s="46">
        <f t="shared" ref="M15:AR15" si="8">M14*M4</f>
        <v>350.1680635485011</v>
      </c>
      <c r="N15" s="46">
        <f t="shared" si="8"/>
        <v>379.48374738712857</v>
      </c>
      <c r="O15" s="46">
        <f t="shared" si="8"/>
        <v>448.9553505029329</v>
      </c>
      <c r="P15" s="46">
        <f t="shared" si="8"/>
        <v>551.26690825205844</v>
      </c>
      <c r="Q15" s="46">
        <f t="shared" si="8"/>
        <v>639.44450773714698</v>
      </c>
      <c r="R15" s="46">
        <f t="shared" si="8"/>
        <v>1315.1936501219013</v>
      </c>
      <c r="S15" s="46">
        <f t="shared" si="8"/>
        <v>1409.6501785199671</v>
      </c>
      <c r="T15" s="46">
        <f t="shared" si="8"/>
        <v>2109.3939507393802</v>
      </c>
      <c r="U15" s="46">
        <f t="shared" si="8"/>
        <v>2919.5604062170505</v>
      </c>
      <c r="V15" s="46">
        <f t="shared" si="8"/>
        <v>3741.5294683527259</v>
      </c>
      <c r="W15" s="46">
        <f t="shared" si="8"/>
        <v>4046.5164867912149</v>
      </c>
      <c r="X15" s="46">
        <f t="shared" si="8"/>
        <v>4537.1298820460006</v>
      </c>
      <c r="Y15" s="46">
        <f t="shared" si="8"/>
        <v>4233.3744088445956</v>
      </c>
      <c r="Z15" s="46">
        <f t="shared" si="8"/>
        <v>3622.5308043801065</v>
      </c>
      <c r="AA15" s="46">
        <f t="shared" si="8"/>
        <v>3589.2659467494841</v>
      </c>
      <c r="AB15" s="46">
        <f t="shared" si="8"/>
        <v>2854.8861237675392</v>
      </c>
      <c r="AC15" s="46">
        <f t="shared" si="8"/>
        <v>3041.4783084091882</v>
      </c>
      <c r="AD15" s="46">
        <f t="shared" si="8"/>
        <v>2262.8112265207033</v>
      </c>
      <c r="AE15" s="46">
        <f t="shared" si="8"/>
        <v>1733.6384920104249</v>
      </c>
      <c r="AF15" s="46">
        <f t="shared" si="8"/>
        <v>1489.3529278095202</v>
      </c>
      <c r="AG15" s="46">
        <f t="shared" si="8"/>
        <v>1341.5420830156927</v>
      </c>
      <c r="AH15" s="46">
        <f t="shared" si="8"/>
        <v>1044.4100056721745</v>
      </c>
      <c r="AI15" s="46">
        <f t="shared" si="8"/>
        <v>765.97297125408761</v>
      </c>
      <c r="AJ15" s="46">
        <f t="shared" si="8"/>
        <v>587.78287809646588</v>
      </c>
      <c r="AK15" s="46">
        <f t="shared" si="8"/>
        <v>345.02137105115122</v>
      </c>
      <c r="AL15" s="46">
        <f t="shared" si="8"/>
        <v>186.48288510430882</v>
      </c>
      <c r="AM15" s="46">
        <f t="shared" si="8"/>
        <v>62.880628141036382</v>
      </c>
      <c r="AN15" s="46">
        <f t="shared" si="8"/>
        <v>24.652382596720564</v>
      </c>
      <c r="AO15" s="46">
        <f>AO14*AO4</f>
        <v>6.1121183986738128</v>
      </c>
      <c r="AP15" s="46">
        <f t="shared" si="8"/>
        <v>1.9969835146330778E-3</v>
      </c>
      <c r="AQ15" s="46">
        <f>AQ14*AQ4</f>
        <v>7.9879340585323113E-4</v>
      </c>
      <c r="AR15" s="46">
        <f t="shared" si="8"/>
        <v>7.9879340585323113E-4</v>
      </c>
    </row>
    <row r="16" spans="1:54" ht="4.5" customHeight="1" x14ac:dyDescent="0.25">
      <c r="A16" s="26"/>
      <c r="B16" s="26"/>
      <c r="D16" s="35"/>
      <c r="E16" s="43"/>
      <c r="H16" s="35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</row>
    <row r="17" spans="1:44" ht="30" x14ac:dyDescent="0.25">
      <c r="A17" s="26" t="s">
        <v>101</v>
      </c>
      <c r="B17" s="40">
        <v>0.42</v>
      </c>
      <c r="C17" s="28"/>
      <c r="D17" s="35" t="s">
        <v>112</v>
      </c>
      <c r="E17" s="41">
        <f>J9/J19</f>
        <v>2.9772990333287495</v>
      </c>
      <c r="F17" s="37"/>
      <c r="H17" s="26" t="s">
        <v>102</v>
      </c>
      <c r="L17" s="46">
        <f>L$11/(L$11-L6)*$B$17</f>
        <v>1.805461523929508</v>
      </c>
      <c r="M17" s="46">
        <f t="shared" ref="M17:AR17" si="9">M$11/(M$11-M6)*$B$17</f>
        <v>1.8519937965085669</v>
      </c>
      <c r="N17" s="46">
        <f t="shared" si="9"/>
        <v>1.9015670276506991</v>
      </c>
      <c r="O17" s="46">
        <f t="shared" si="9"/>
        <v>1.954499675937754</v>
      </c>
      <c r="P17" s="46">
        <f t="shared" si="9"/>
        <v>2.0111570217386934</v>
      </c>
      <c r="Q17" s="46">
        <f t="shared" si="9"/>
        <v>2.0719601896262652</v>
      </c>
      <c r="R17" s="46">
        <f t="shared" si="9"/>
        <v>2.1373973557140378</v>
      </c>
      <c r="S17" s="46">
        <f t="shared" si="9"/>
        <v>2.2080377864927154</v>
      </c>
      <c r="T17" s="46">
        <f t="shared" si="9"/>
        <v>2.2845495850001951</v>
      </c>
      <c r="U17" s="46">
        <f t="shared" si="9"/>
        <v>2.3677223454219409</v>
      </c>
      <c r="V17" s="46">
        <f t="shared" si="9"/>
        <v>2.4584963854716748</v>
      </c>
      <c r="W17" s="46">
        <f t="shared" si="9"/>
        <v>2.5580009107909594</v>
      </c>
      <c r="X17" s="46">
        <f t="shared" si="9"/>
        <v>2.6676044848707585</v>
      </c>
      <c r="Y17" s="46">
        <f t="shared" si="9"/>
        <v>2.7889827240060727</v>
      </c>
      <c r="Z17" s="46">
        <f t="shared" si="9"/>
        <v>2.9242105314227418</v>
      </c>
      <c r="AA17" s="46">
        <f t="shared" si="9"/>
        <v>3.0758899809034261</v>
      </c>
      <c r="AB17" s="46">
        <f t="shared" si="9"/>
        <v>3.2473311360538037</v>
      </c>
      <c r="AC17" s="46">
        <f t="shared" si="9"/>
        <v>3.4428134343221086</v>
      </c>
      <c r="AD17" s="46">
        <f t="shared" si="9"/>
        <v>3.6679731644183491</v>
      </c>
      <c r="AE17" s="46">
        <f t="shared" si="9"/>
        <v>3.9303947228155218</v>
      </c>
      <c r="AF17" s="46">
        <f t="shared" si="9"/>
        <v>4.2405436472266782</v>
      </c>
      <c r="AG17" s="46">
        <f t="shared" si="9"/>
        <v>4.6132983607050067</v>
      </c>
      <c r="AH17" s="46">
        <f t="shared" si="9"/>
        <v>5.0705864161989949</v>
      </c>
      <c r="AI17" s="46">
        <f t="shared" si="9"/>
        <v>5.6461901564901815</v>
      </c>
      <c r="AJ17" s="46">
        <f t="shared" si="9"/>
        <v>6.3951577526288101</v>
      </c>
      <c r="AK17" s="46">
        <f t="shared" si="9"/>
        <v>7.414010368202125</v>
      </c>
      <c r="AL17" s="46">
        <f t="shared" si="9"/>
        <v>8.889824934314797</v>
      </c>
      <c r="AM17" s="46">
        <f t="shared" si="9"/>
        <v>11.242328274581183</v>
      </c>
      <c r="AN17" s="46">
        <f t="shared" si="9"/>
        <v>15.665944940453739</v>
      </c>
      <c r="AO17" s="46">
        <f t="shared" si="9"/>
        <v>27.649514563106656</v>
      </c>
      <c r="AP17" s="46">
        <f t="shared" si="9"/>
        <v>7231.586811258876</v>
      </c>
      <c r="AQ17" s="46">
        <f>AQ$11/(AQ$11-AQ6)*$B$17</f>
        <v>7231.586811258876</v>
      </c>
      <c r="AR17" s="46">
        <f t="shared" si="9"/>
        <v>7231.586811258876</v>
      </c>
    </row>
    <row r="18" spans="1:44" ht="45" x14ac:dyDescent="0.25">
      <c r="A18" s="26"/>
      <c r="B18" s="26"/>
      <c r="D18" s="35" t="s">
        <v>117</v>
      </c>
      <c r="E18" s="42">
        <f>J19</f>
        <v>67469.071205345666</v>
      </c>
      <c r="F18" s="37" t="s">
        <v>50</v>
      </c>
      <c r="H18" s="26" t="s">
        <v>77</v>
      </c>
      <c r="I18" s="31" t="s">
        <v>50</v>
      </c>
      <c r="L18" s="46">
        <f>L8/L17</f>
        <v>1014.5276861511337</v>
      </c>
      <c r="M18" s="46">
        <f t="shared" ref="M18:AR18" si="10">M8/M17</f>
        <v>956.06926378564833</v>
      </c>
      <c r="N18" s="46">
        <f t="shared" si="10"/>
        <v>899.03640732142389</v>
      </c>
      <c r="O18" s="46">
        <f t="shared" si="10"/>
        <v>843.44942717140384</v>
      </c>
      <c r="P18" s="46">
        <f t="shared" si="10"/>
        <v>789.329355278496</v>
      </c>
      <c r="Q18" s="46">
        <f t="shared" si="10"/>
        <v>736.6979955655338</v>
      </c>
      <c r="R18" s="46">
        <f t="shared" si="10"/>
        <v>685.57798012066598</v>
      </c>
      <c r="S18" s="46">
        <f t="shared" si="10"/>
        <v>635.99283204873075</v>
      </c>
      <c r="T18" s="46">
        <f t="shared" si="10"/>
        <v>587.96703611860005</v>
      </c>
      <c r="U18" s="46">
        <f t="shared" si="10"/>
        <v>541.52611858992293</v>
      </c>
      <c r="V18" s="46">
        <f t="shared" si="10"/>
        <v>496.69673792793594</v>
      </c>
      <c r="W18" s="46">
        <f t="shared" si="10"/>
        <v>453.50678853711855</v>
      </c>
      <c r="X18" s="46">
        <f t="shared" si="10"/>
        <v>411.98552019884897</v>
      </c>
      <c r="Y18" s="46">
        <f t="shared" si="10"/>
        <v>372.16367663610947</v>
      </c>
      <c r="Z18" s="46">
        <f t="shared" si="10"/>
        <v>334.07365762472006</v>
      </c>
      <c r="AA18" s="46">
        <f t="shared" si="10"/>
        <v>297.74971043813372</v>
      </c>
      <c r="AB18" s="46">
        <f t="shared" si="10"/>
        <v>263.2281583234938</v>
      </c>
      <c r="AC18" s="46">
        <f t="shared" si="10"/>
        <v>230.54767643042436</v>
      </c>
      <c r="AD18" s="46">
        <f t="shared" si="10"/>
        <v>199.74962958569679</v>
      </c>
      <c r="AE18" s="46">
        <f t="shared" si="10"/>
        <v>170.87849224928715</v>
      </c>
      <c r="AF18" s="46">
        <f t="shared" si="10"/>
        <v>143.98238014482189</v>
      </c>
      <c r="AG18" s="46">
        <f t="shared" si="10"/>
        <v>119.11373766169224</v>
      </c>
      <c r="AH18" s="46">
        <f t="shared" si="10"/>
        <v>96.330249374728666</v>
      </c>
      <c r="AI18" s="46">
        <f t="shared" si="10"/>
        <v>75.696086273982374</v>
      </c>
      <c r="AJ18" s="46">
        <f t="shared" si="10"/>
        <v>57.283675341836997</v>
      </c>
      <c r="AK18" s="46">
        <f t="shared" si="10"/>
        <v>41.17633622784917</v>
      </c>
      <c r="AL18" s="46">
        <f t="shared" si="10"/>
        <v>27.472467543378531</v>
      </c>
      <c r="AM18" s="46">
        <f t="shared" si="10"/>
        <v>16.29280570332163</v>
      </c>
      <c r="AN18" s="46">
        <f t="shared" si="10"/>
        <v>7.7947876078519798</v>
      </c>
      <c r="AO18" s="46">
        <f t="shared" si="10"/>
        <v>2.2082252693520679</v>
      </c>
      <c r="AP18" s="46">
        <f t="shared" si="10"/>
        <v>8.4430095824316096E-6</v>
      </c>
      <c r="AQ18" s="46">
        <f t="shared" si="10"/>
        <v>8.4430095824316096E-6</v>
      </c>
      <c r="AR18" s="46">
        <f t="shared" si="10"/>
        <v>8.4430095824316096E-6</v>
      </c>
    </row>
    <row r="19" spans="1:44" ht="45" x14ac:dyDescent="0.25">
      <c r="A19" s="26"/>
      <c r="B19" s="26"/>
      <c r="D19" s="26"/>
      <c r="E19" s="43"/>
      <c r="H19" s="35" t="s">
        <v>108</v>
      </c>
      <c r="I19" s="31" t="s">
        <v>50</v>
      </c>
      <c r="J19" s="38">
        <f>SUM(L19:AR19)</f>
        <v>67469.071205345666</v>
      </c>
      <c r="L19" s="46">
        <f>L18*L4</f>
        <v>589.37489681081991</v>
      </c>
      <c r="M19" s="46">
        <f t="shared" ref="M19:AR19" si="11">M18*M4</f>
        <v>555.41433849418002</v>
      </c>
      <c r="N19" s="46">
        <f t="shared" si="11"/>
        <v>596.89364761524985</v>
      </c>
      <c r="O19" s="46">
        <f t="shared" si="11"/>
        <v>699.98500764738799</v>
      </c>
      <c r="P19" s="46">
        <f t="shared" si="11"/>
        <v>851.59146012702945</v>
      </c>
      <c r="Q19" s="46">
        <f t="shared" si="11"/>
        <v>978.22590983624718</v>
      </c>
      <c r="R19" s="46">
        <f t="shared" si="11"/>
        <v>1991.3820825447383</v>
      </c>
      <c r="S19" s="46">
        <f t="shared" si="11"/>
        <v>2111.2608915903329</v>
      </c>
      <c r="T19" s="46">
        <f t="shared" si="11"/>
        <v>3122.9328290451344</v>
      </c>
      <c r="U19" s="46">
        <f t="shared" si="11"/>
        <v>4269.4575922229569</v>
      </c>
      <c r="V19" s="46">
        <f t="shared" si="11"/>
        <v>5399.9817759364714</v>
      </c>
      <c r="W19" s="46">
        <f t="shared" si="11"/>
        <v>5758.4408999783727</v>
      </c>
      <c r="X19" s="46">
        <f t="shared" si="11"/>
        <v>6359.5236594312519</v>
      </c>
      <c r="Y19" s="46">
        <f t="shared" si="11"/>
        <v>5837.4809783156652</v>
      </c>
      <c r="Z19" s="46">
        <f t="shared" si="11"/>
        <v>4907.3291572617854</v>
      </c>
      <c r="AA19" s="46">
        <f t="shared" si="11"/>
        <v>4769.1210686029826</v>
      </c>
      <c r="AB19" s="46">
        <f t="shared" si="11"/>
        <v>3713.7353991631649</v>
      </c>
      <c r="AC19" s="46">
        <f t="shared" si="11"/>
        <v>3864.9315766648137</v>
      </c>
      <c r="AD19" s="46">
        <f t="shared" si="11"/>
        <v>2801.5758042637281</v>
      </c>
      <c r="AE19" s="46">
        <f t="shared" si="11"/>
        <v>2084.6561383577591</v>
      </c>
      <c r="AF19" s="46">
        <f t="shared" si="11"/>
        <v>1732.6348340397542</v>
      </c>
      <c r="AG19" s="46">
        <f t="shared" si="11"/>
        <v>1502.5714450766793</v>
      </c>
      <c r="AH19" s="46">
        <f t="shared" si="11"/>
        <v>1119.2327535265226</v>
      </c>
      <c r="AI19" s="46">
        <f t="shared" si="11"/>
        <v>778.97729893256417</v>
      </c>
      <c r="AJ19" s="46">
        <f t="shared" si="11"/>
        <v>560.97379290307595</v>
      </c>
      <c r="AK19" s="46">
        <f t="shared" si="11"/>
        <v>304.13569823791863</v>
      </c>
      <c r="AL19" s="46">
        <f t="shared" si="11"/>
        <v>148.19744503423172</v>
      </c>
      <c r="AM19" s="46">
        <f t="shared" si="11"/>
        <v>43.268869411493284</v>
      </c>
      <c r="AN19" s="46">
        <f t="shared" si="11"/>
        <v>13.58480070505137</v>
      </c>
      <c r="AO19" s="46">
        <f t="shared" si="11"/>
        <v>2.1991472620782657</v>
      </c>
      <c r="AP19" s="46">
        <f t="shared" si="11"/>
        <v>3.5034584983625509E-6</v>
      </c>
      <c r="AQ19" s="46">
        <f t="shared" si="11"/>
        <v>1.4013833993450203E-6</v>
      </c>
      <c r="AR19" s="46">
        <f t="shared" si="11"/>
        <v>1.4013833993450203E-6</v>
      </c>
    </row>
    <row r="20" spans="1:44" ht="4.5" customHeight="1" x14ac:dyDescent="0.25">
      <c r="A20" s="26"/>
      <c r="B20" s="26"/>
      <c r="D20" s="26"/>
      <c r="E20" s="43"/>
      <c r="H20" s="2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</row>
    <row r="21" spans="1:44" ht="30" x14ac:dyDescent="0.25">
      <c r="A21" s="26" t="s">
        <v>71</v>
      </c>
      <c r="B21" s="40">
        <v>0.9</v>
      </c>
      <c r="C21" s="28"/>
      <c r="D21" s="35" t="s">
        <v>114</v>
      </c>
      <c r="E21" s="42">
        <f>$B$4/$B$22/$B$21</f>
        <v>44800</v>
      </c>
      <c r="F21" s="37" t="s">
        <v>64</v>
      </c>
      <c r="H21" s="26" t="s">
        <v>63</v>
      </c>
      <c r="I21" s="31" t="s">
        <v>64</v>
      </c>
      <c r="L21" s="46">
        <f t="shared" ref="L21:AR21" si="12">L8/$B$21/$B$22</f>
        <v>407.04237829046741</v>
      </c>
      <c r="M21" s="46">
        <f t="shared" si="12"/>
        <v>393.47429901411851</v>
      </c>
      <c r="N21" s="46">
        <f t="shared" si="12"/>
        <v>379.90621973776956</v>
      </c>
      <c r="O21" s="46">
        <f t="shared" si="12"/>
        <v>366.33814046142066</v>
      </c>
      <c r="P21" s="46">
        <f t="shared" si="12"/>
        <v>352.77006118507177</v>
      </c>
      <c r="Q21" s="46">
        <f t="shared" si="12"/>
        <v>339.20198190872281</v>
      </c>
      <c r="R21" s="46">
        <f t="shared" si="12"/>
        <v>325.63390263237392</v>
      </c>
      <c r="S21" s="46">
        <f t="shared" si="12"/>
        <v>312.06582335602502</v>
      </c>
      <c r="T21" s="46">
        <f t="shared" si="12"/>
        <v>298.49774407967612</v>
      </c>
      <c r="U21" s="46">
        <f t="shared" si="12"/>
        <v>284.92966480332723</v>
      </c>
      <c r="V21" s="46">
        <f t="shared" si="12"/>
        <v>271.36158552697827</v>
      </c>
      <c r="W21" s="46">
        <f t="shared" si="12"/>
        <v>257.79350625062938</v>
      </c>
      <c r="X21" s="46">
        <f t="shared" si="12"/>
        <v>244.22542697428042</v>
      </c>
      <c r="Y21" s="46">
        <f t="shared" si="12"/>
        <v>230.65734769793153</v>
      </c>
      <c r="Z21" s="46">
        <f t="shared" si="12"/>
        <v>217.08926842158263</v>
      </c>
      <c r="AA21" s="46">
        <f t="shared" si="12"/>
        <v>203.52118914523371</v>
      </c>
      <c r="AB21" s="46">
        <f t="shared" si="12"/>
        <v>189.95310986888478</v>
      </c>
      <c r="AC21" s="46">
        <f t="shared" si="12"/>
        <v>176.38503059253588</v>
      </c>
      <c r="AD21" s="46">
        <f t="shared" si="12"/>
        <v>162.81695131618696</v>
      </c>
      <c r="AE21" s="46">
        <f t="shared" si="12"/>
        <v>149.24887203983806</v>
      </c>
      <c r="AF21" s="46">
        <f t="shared" si="12"/>
        <v>135.68079276348914</v>
      </c>
      <c r="AG21" s="46">
        <f t="shared" si="12"/>
        <v>122.11271348714021</v>
      </c>
      <c r="AH21" s="46">
        <f t="shared" si="12"/>
        <v>108.54463421079132</v>
      </c>
      <c r="AI21" s="46">
        <f t="shared" si="12"/>
        <v>94.97655493444239</v>
      </c>
      <c r="AJ21" s="46">
        <f t="shared" si="12"/>
        <v>81.408475658093479</v>
      </c>
      <c r="AK21" s="46">
        <f t="shared" si="12"/>
        <v>67.840396381744569</v>
      </c>
      <c r="AL21" s="46">
        <f t="shared" si="12"/>
        <v>54.272317105395658</v>
      </c>
      <c r="AM21" s="46">
        <f t="shared" si="12"/>
        <v>40.70423782904674</v>
      </c>
      <c r="AN21" s="46">
        <f t="shared" si="12"/>
        <v>27.136158552697829</v>
      </c>
      <c r="AO21" s="46">
        <f t="shared" si="12"/>
        <v>13.568079276348914</v>
      </c>
      <c r="AP21" s="46">
        <f t="shared" si="12"/>
        <v>1.3568079276365497E-2</v>
      </c>
      <c r="AQ21" s="46">
        <f t="shared" si="12"/>
        <v>1.3568079276365497E-2</v>
      </c>
      <c r="AR21" s="46">
        <f t="shared" si="12"/>
        <v>1.3568079276365497E-2</v>
      </c>
    </row>
    <row r="22" spans="1:44" ht="45" x14ac:dyDescent="0.25">
      <c r="A22" s="26" t="s">
        <v>65</v>
      </c>
      <c r="B22" s="27">
        <v>5</v>
      </c>
      <c r="C22" s="28" t="s">
        <v>66</v>
      </c>
      <c r="D22" s="26" t="s">
        <v>68</v>
      </c>
      <c r="E22" s="41">
        <f>E21/$B$23</f>
        <v>68.92307692307692</v>
      </c>
      <c r="F22" s="44" t="s">
        <v>109</v>
      </c>
      <c r="H22" s="35" t="s">
        <v>104</v>
      </c>
      <c r="I22" s="31" t="s">
        <v>64</v>
      </c>
      <c r="J22" s="38">
        <f>SUM(L22:BB22)</f>
        <v>44639.02232872539</v>
      </c>
      <c r="L22" s="46">
        <f t="shared" ref="L22:AR22" si="13">L21*L4</f>
        <v>236.46526652485761</v>
      </c>
      <c r="M22" s="46">
        <f t="shared" si="13"/>
        <v>228.58309097402903</v>
      </c>
      <c r="N22" s="46">
        <f t="shared" si="13"/>
        <v>252.22961762651428</v>
      </c>
      <c r="O22" s="46">
        <f t="shared" si="13"/>
        <v>304.0267712462458</v>
      </c>
      <c r="P22" s="46">
        <f t="shared" si="13"/>
        <v>380.59647659715154</v>
      </c>
      <c r="Q22" s="46">
        <f t="shared" si="13"/>
        <v>450.4100314759192</v>
      </c>
      <c r="R22" s="46">
        <f t="shared" si="13"/>
        <v>945.86106609943056</v>
      </c>
      <c r="S22" s="46">
        <f t="shared" si="13"/>
        <v>1035.9430723946123</v>
      </c>
      <c r="T22" s="46">
        <f t="shared" si="13"/>
        <v>1585.4433107952329</v>
      </c>
      <c r="U22" s="46">
        <f t="shared" si="13"/>
        <v>2246.4200319861452</v>
      </c>
      <c r="V22" s="46">
        <f t="shared" si="13"/>
        <v>2950.1857061672736</v>
      </c>
      <c r="W22" s="46">
        <f t="shared" si="13"/>
        <v>3273.3549037512421</v>
      </c>
      <c r="X22" s="46">
        <f t="shared" si="13"/>
        <v>3769.9319634534454</v>
      </c>
      <c r="Y22" s="46">
        <f t="shared" si="13"/>
        <v>3617.9185778303245</v>
      </c>
      <c r="Z22" s="46">
        <f t="shared" si="13"/>
        <v>3188.9030228495117</v>
      </c>
      <c r="AA22" s="46">
        <f t="shared" si="13"/>
        <v>3259.8426028069675</v>
      </c>
      <c r="AB22" s="46">
        <f t="shared" si="13"/>
        <v>2679.939687281721</v>
      </c>
      <c r="AC22" s="46">
        <f t="shared" si="13"/>
        <v>2956.9418566394106</v>
      </c>
      <c r="AD22" s="46">
        <f t="shared" si="13"/>
        <v>2283.5788595829131</v>
      </c>
      <c r="AE22" s="46">
        <f t="shared" si="13"/>
        <v>1820.7825522414046</v>
      </c>
      <c r="AF22" s="46">
        <f t="shared" si="13"/>
        <v>1632.7363641002066</v>
      </c>
      <c r="AG22" s="46">
        <f t="shared" si="13"/>
        <v>1540.4023076476437</v>
      </c>
      <c r="AH22" s="46">
        <f t="shared" si="13"/>
        <v>1261.1480881325742</v>
      </c>
      <c r="AI22" s="46">
        <f t="shared" si="13"/>
        <v>977.38976830274498</v>
      </c>
      <c r="AJ22" s="46">
        <f t="shared" si="13"/>
        <v>797.22575571237655</v>
      </c>
      <c r="AK22" s="46">
        <f t="shared" si="13"/>
        <v>501.08116001696044</v>
      </c>
      <c r="AL22" s="46">
        <f t="shared" si="13"/>
        <v>292.76652045934662</v>
      </c>
      <c r="AM22" s="46">
        <f t="shared" si="13"/>
        <v>108.09840755422042</v>
      </c>
      <c r="AN22" s="46">
        <f t="shared" si="13"/>
        <v>47.293053304971536</v>
      </c>
      <c r="AO22" s="46">
        <f t="shared" si="13"/>
        <v>13.512300944277586</v>
      </c>
      <c r="AP22" s="46">
        <f t="shared" si="13"/>
        <v>5.630125393455877E-3</v>
      </c>
      <c r="AQ22" s="46">
        <f t="shared" si="13"/>
        <v>2.2520501573823509E-3</v>
      </c>
      <c r="AR22" s="46">
        <f t="shared" si="13"/>
        <v>2.2520501573823509E-3</v>
      </c>
    </row>
    <row r="23" spans="1:44" x14ac:dyDescent="0.25">
      <c r="A23" s="26" t="s">
        <v>69</v>
      </c>
      <c r="B23" s="27">
        <v>650</v>
      </c>
      <c r="C23" s="28" t="s">
        <v>70</v>
      </c>
      <c r="D23" s="51"/>
      <c r="E23" s="52"/>
      <c r="F23" s="54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</row>
    <row r="24" spans="1:44" x14ac:dyDescent="0.25">
      <c r="D24" s="25"/>
      <c r="E24" s="25"/>
      <c r="F24" s="53"/>
      <c r="G24" s="50"/>
      <c r="H24" s="25"/>
      <c r="I24" s="50"/>
      <c r="J24" s="25"/>
      <c r="K24" s="49"/>
      <c r="L24" s="49"/>
      <c r="M24" s="47"/>
      <c r="N24" s="47"/>
      <c r="O24" s="50"/>
      <c r="P24" s="49"/>
      <c r="Q24" s="49"/>
      <c r="R24" s="49"/>
      <c r="S24" s="49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</row>
  </sheetData>
  <pageMargins left="0.23622047244094491" right="0.23622047244094491" top="0.74803149606299213" bottom="0.74803149606299213" header="0.31496062992125984" footer="0.31496062992125984"/>
  <pageSetup paperSize="9" scale="89" fitToWidth="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C24C1-4C69-48F2-B600-48F7615DF8C1}">
  <dimension ref="A1:BC25"/>
  <sheetViews>
    <sheetView zoomScale="55" zoomScaleNormal="55" workbookViewId="0">
      <selection activeCell="I35" sqref="I35"/>
    </sheetView>
  </sheetViews>
  <sheetFormatPr baseColWidth="10" defaultColWidth="9.140625" defaultRowHeight="15" x14ac:dyDescent="0.25"/>
  <cols>
    <col min="1" max="1" width="34.42578125" customWidth="1"/>
    <col min="2" max="2" width="12.28515625" customWidth="1"/>
    <col min="3" max="3" width="17.85546875" customWidth="1"/>
    <col min="4" max="4" width="13.7109375" customWidth="1"/>
    <col min="5" max="5" width="46.42578125" customWidth="1"/>
    <col min="6" max="6" width="11.7109375" customWidth="1"/>
    <col min="7" max="7" width="13.7109375" customWidth="1"/>
    <col min="9" max="9" width="53.42578125" customWidth="1"/>
    <col min="10" max="10" width="13.42578125" customWidth="1"/>
    <col min="11" max="11" width="21.140625" customWidth="1"/>
    <col min="13" max="55" width="15.7109375" customWidth="1"/>
  </cols>
  <sheetData>
    <row r="1" spans="1:55" ht="21" x14ac:dyDescent="0.35">
      <c r="A1" s="15" t="s">
        <v>39</v>
      </c>
      <c r="B1" s="15" t="s">
        <v>42</v>
      </c>
      <c r="C1" s="15" t="s">
        <v>34</v>
      </c>
      <c r="D1" s="15"/>
      <c r="E1" s="15" t="s">
        <v>58</v>
      </c>
      <c r="F1" s="15" t="s">
        <v>42</v>
      </c>
      <c r="G1" s="15" t="s">
        <v>34</v>
      </c>
      <c r="H1" s="15"/>
      <c r="I1" s="15" t="s">
        <v>33</v>
      </c>
      <c r="J1" s="15" t="s">
        <v>34</v>
      </c>
      <c r="K1" s="15" t="s">
        <v>35</v>
      </c>
    </row>
    <row r="2" spans="1:55" x14ac:dyDescent="0.25">
      <c r="A2" s="16" t="s">
        <v>41</v>
      </c>
      <c r="B2" s="13">
        <v>242.25</v>
      </c>
      <c r="C2" t="s">
        <v>44</v>
      </c>
      <c r="F2" s="18"/>
      <c r="I2" s="16" t="s">
        <v>36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13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t="s">
        <v>31</v>
      </c>
      <c r="AS2" t="s">
        <v>32</v>
      </c>
    </row>
    <row r="3" spans="1:55" x14ac:dyDescent="0.25">
      <c r="A3" s="16" t="s">
        <v>57</v>
      </c>
      <c r="B3" s="13">
        <v>6.37</v>
      </c>
      <c r="C3" t="s">
        <v>43</v>
      </c>
      <c r="F3" s="18"/>
      <c r="I3" s="16" t="s">
        <v>37</v>
      </c>
      <c r="J3" t="s">
        <v>45</v>
      </c>
      <c r="K3" s="3">
        <f>SUM(M3:BC3)</f>
        <v>0.999999999999999</v>
      </c>
      <c r="M3" s="2">
        <v>2.3980815347721799E-3</v>
      </c>
      <c r="N3" s="2">
        <v>2.3980815347721799E-3</v>
      </c>
      <c r="O3" s="2">
        <v>2.7406646111682001E-3</v>
      </c>
      <c r="P3" s="2">
        <v>3.42583076396026E-3</v>
      </c>
      <c r="Q3" s="2">
        <v>4.4535799931483301E-3</v>
      </c>
      <c r="R3" s="2">
        <v>5.4813292223364098E-3</v>
      </c>
      <c r="S3" s="2">
        <v>1.1990407673860899E-2</v>
      </c>
      <c r="T3" s="2">
        <v>1.3703323055841E-2</v>
      </c>
      <c r="U3" s="2">
        <v>2.1925316889345601E-2</v>
      </c>
      <c r="V3" s="2">
        <v>3.2545392257622402E-2</v>
      </c>
      <c r="W3" s="2">
        <v>4.4878383007879399E-2</v>
      </c>
      <c r="X3" s="2">
        <v>5.2415210688591903E-2</v>
      </c>
      <c r="Y3" s="2">
        <v>6.3720452209660799E-2</v>
      </c>
      <c r="Z3" s="2">
        <v>6.4748201438848907E-2</v>
      </c>
      <c r="AA3" s="2">
        <v>6.0637204522096602E-2</v>
      </c>
      <c r="AB3" s="2">
        <v>6.6118533744432995E-2</v>
      </c>
      <c r="AC3" s="2">
        <v>5.82391229873244E-2</v>
      </c>
      <c r="AD3" s="2">
        <v>6.9201781431997206E-2</v>
      </c>
      <c r="AE3" s="2">
        <v>5.7896539910928399E-2</v>
      </c>
      <c r="AF3" s="2">
        <v>5.0359712230215799E-2</v>
      </c>
      <c r="AG3" s="2">
        <v>4.9674546077423699E-2</v>
      </c>
      <c r="AH3" s="2">
        <v>5.2072627612195901E-2</v>
      </c>
      <c r="AI3" s="2">
        <v>4.7961630695443597E-2</v>
      </c>
      <c r="AJ3" s="2">
        <v>4.2480301473107197E-2</v>
      </c>
      <c r="AK3" s="2">
        <v>4.0424803014731003E-2</v>
      </c>
      <c r="AL3" s="2">
        <v>3.0489893799246302E-2</v>
      </c>
      <c r="AM3" s="2">
        <v>2.2267899965741599E-2</v>
      </c>
      <c r="AN3" s="2">
        <v>1.09626584446728E-2</v>
      </c>
      <c r="AO3" s="2">
        <v>7.1942446043165402E-3</v>
      </c>
      <c r="AP3" s="2">
        <v>4.1109969167523099E-3</v>
      </c>
      <c r="AQ3" s="2">
        <v>1.71291538198013E-3</v>
      </c>
      <c r="AR3" s="2">
        <v>6.8516615279205198E-4</v>
      </c>
      <c r="AS3" s="2">
        <v>6.8516615279205198E-4</v>
      </c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x14ac:dyDescent="0.25">
      <c r="A4" s="16" t="s">
        <v>49</v>
      </c>
      <c r="B4" s="13">
        <v>201600</v>
      </c>
      <c r="C4" t="s">
        <v>51</v>
      </c>
      <c r="F4" s="18"/>
      <c r="I4" s="16" t="s">
        <v>38</v>
      </c>
      <c r="J4" t="s">
        <v>44</v>
      </c>
      <c r="K4">
        <f>SUM(M4:BC4)</f>
        <v>242.2499999999998</v>
      </c>
      <c r="M4">
        <f t="shared" ref="M4:AS4" si="0">M3*$B$2</f>
        <v>0.58093525179856054</v>
      </c>
      <c r="N4">
        <f t="shared" si="0"/>
        <v>0.58093525179856054</v>
      </c>
      <c r="O4">
        <f t="shared" si="0"/>
        <v>0.66392600205549646</v>
      </c>
      <c r="P4">
        <f t="shared" si="0"/>
        <v>0.82990750256937296</v>
      </c>
      <c r="Q4">
        <f t="shared" si="0"/>
        <v>1.078879753340183</v>
      </c>
      <c r="R4">
        <f t="shared" si="0"/>
        <v>1.3278520041109954</v>
      </c>
      <c r="S4">
        <f t="shared" si="0"/>
        <v>2.904676258992803</v>
      </c>
      <c r="T4">
        <f t="shared" si="0"/>
        <v>3.3196300102774821</v>
      </c>
      <c r="U4">
        <f t="shared" si="0"/>
        <v>5.3114080164439716</v>
      </c>
      <c r="V4">
        <f t="shared" si="0"/>
        <v>7.8841212744090265</v>
      </c>
      <c r="W4">
        <f t="shared" si="0"/>
        <v>10.871788283658784</v>
      </c>
      <c r="X4">
        <f t="shared" si="0"/>
        <v>12.697584789311389</v>
      </c>
      <c r="Y4">
        <f t="shared" si="0"/>
        <v>15.436279547790329</v>
      </c>
      <c r="Z4">
        <f t="shared" si="0"/>
        <v>15.685251798561147</v>
      </c>
      <c r="AA4">
        <f t="shared" si="0"/>
        <v>14.689362795477901</v>
      </c>
      <c r="AB4">
        <f t="shared" si="0"/>
        <v>16.017214799588892</v>
      </c>
      <c r="AC4">
        <f t="shared" si="0"/>
        <v>14.108427543679335</v>
      </c>
      <c r="AD4">
        <f t="shared" si="0"/>
        <v>16.764131551901322</v>
      </c>
      <c r="AE4">
        <f t="shared" si="0"/>
        <v>14.025436793422404</v>
      </c>
      <c r="AF4">
        <f t="shared" si="0"/>
        <v>12.199640287769776</v>
      </c>
      <c r="AG4">
        <f t="shared" si="0"/>
        <v>12.033658787255892</v>
      </c>
      <c r="AH4">
        <f t="shared" si="0"/>
        <v>12.614594039054458</v>
      </c>
      <c r="AI4">
        <f t="shared" si="0"/>
        <v>11.618705035971212</v>
      </c>
      <c r="AJ4">
        <f t="shared" si="0"/>
        <v>10.290853031860218</v>
      </c>
      <c r="AK4">
        <f t="shared" si="0"/>
        <v>9.7929085303185861</v>
      </c>
      <c r="AL4">
        <f t="shared" si="0"/>
        <v>7.3861767728674161</v>
      </c>
      <c r="AM4">
        <f t="shared" si="0"/>
        <v>5.3943987667009026</v>
      </c>
      <c r="AN4">
        <f t="shared" si="0"/>
        <v>2.6557040082219858</v>
      </c>
      <c r="AO4">
        <f t="shared" si="0"/>
        <v>1.7428057553956819</v>
      </c>
      <c r="AP4">
        <f t="shared" si="0"/>
        <v>0.99588900308324713</v>
      </c>
      <c r="AQ4">
        <f t="shared" si="0"/>
        <v>0.41495375128468648</v>
      </c>
      <c r="AR4">
        <f t="shared" si="0"/>
        <v>0.16598150051387459</v>
      </c>
      <c r="AS4">
        <f t="shared" si="0"/>
        <v>0.16598150051387459</v>
      </c>
    </row>
    <row r="5" spans="1:55" ht="53.25" customHeight="1" x14ac:dyDescent="0.25">
      <c r="A5" s="16" t="s">
        <v>54</v>
      </c>
      <c r="B5" s="13">
        <v>20</v>
      </c>
      <c r="C5" t="s">
        <v>43</v>
      </c>
      <c r="E5" s="17" t="s">
        <v>59</v>
      </c>
      <c r="F5" s="19">
        <f>B4/B2/(20-B3)</f>
        <v>61.056356743570113</v>
      </c>
      <c r="G5" t="s">
        <v>60</v>
      </c>
      <c r="I5" s="17" t="s">
        <v>62</v>
      </c>
      <c r="J5" t="s">
        <v>43</v>
      </c>
      <c r="M5">
        <v>-10</v>
      </c>
      <c r="N5">
        <v>-9</v>
      </c>
      <c r="O5">
        <v>-8</v>
      </c>
      <c r="P5">
        <v>-7</v>
      </c>
      <c r="Q5">
        <v>-6</v>
      </c>
      <c r="R5">
        <v>-5</v>
      </c>
      <c r="S5">
        <v>-4</v>
      </c>
      <c r="T5">
        <v>-3</v>
      </c>
      <c r="U5">
        <v>-2</v>
      </c>
      <c r="V5">
        <v>-1</v>
      </c>
      <c r="W5">
        <v>0</v>
      </c>
      <c r="X5">
        <v>1</v>
      </c>
      <c r="Y5">
        <v>2</v>
      </c>
      <c r="Z5">
        <v>3</v>
      </c>
      <c r="AA5">
        <v>4</v>
      </c>
      <c r="AB5">
        <v>5</v>
      </c>
      <c r="AC5">
        <v>6</v>
      </c>
      <c r="AD5">
        <v>7</v>
      </c>
      <c r="AE5">
        <v>8</v>
      </c>
      <c r="AF5">
        <v>9</v>
      </c>
      <c r="AG5">
        <v>10</v>
      </c>
      <c r="AH5">
        <v>11</v>
      </c>
      <c r="AI5">
        <v>12</v>
      </c>
      <c r="AJ5">
        <v>13</v>
      </c>
      <c r="AK5">
        <v>14</v>
      </c>
      <c r="AL5">
        <v>15</v>
      </c>
      <c r="AM5">
        <v>16</v>
      </c>
      <c r="AN5">
        <v>17</v>
      </c>
      <c r="AO5">
        <v>18</v>
      </c>
      <c r="AP5">
        <v>19</v>
      </c>
      <c r="AQ5">
        <v>19.998999999999999</v>
      </c>
      <c r="AR5">
        <v>19.998999999999999</v>
      </c>
      <c r="AS5">
        <v>19.998999999999999</v>
      </c>
    </row>
    <row r="6" spans="1:55" ht="30" x14ac:dyDescent="0.25">
      <c r="A6" s="17" t="s">
        <v>55</v>
      </c>
      <c r="B6" s="13">
        <f>B5</f>
        <v>20</v>
      </c>
      <c r="C6" t="s">
        <v>43</v>
      </c>
      <c r="E6" s="16"/>
      <c r="F6" s="18"/>
      <c r="I6" s="16" t="s">
        <v>40</v>
      </c>
      <c r="J6" t="s">
        <v>53</v>
      </c>
      <c r="M6">
        <f>M5+273.15</f>
        <v>263.14999999999998</v>
      </c>
      <c r="N6">
        <f t="shared" ref="N6:AS6" si="1">N5+273.15</f>
        <v>264.14999999999998</v>
      </c>
      <c r="O6">
        <f t="shared" si="1"/>
        <v>265.14999999999998</v>
      </c>
      <c r="P6">
        <f t="shared" si="1"/>
        <v>266.14999999999998</v>
      </c>
      <c r="Q6">
        <f t="shared" si="1"/>
        <v>267.14999999999998</v>
      </c>
      <c r="R6">
        <f t="shared" si="1"/>
        <v>268.14999999999998</v>
      </c>
      <c r="S6">
        <f t="shared" si="1"/>
        <v>269.14999999999998</v>
      </c>
      <c r="T6">
        <f t="shared" si="1"/>
        <v>270.14999999999998</v>
      </c>
      <c r="U6">
        <f t="shared" si="1"/>
        <v>271.14999999999998</v>
      </c>
      <c r="V6">
        <f t="shared" si="1"/>
        <v>272.14999999999998</v>
      </c>
      <c r="W6">
        <f t="shared" si="1"/>
        <v>273.14999999999998</v>
      </c>
      <c r="X6">
        <f t="shared" si="1"/>
        <v>274.14999999999998</v>
      </c>
      <c r="Y6">
        <f t="shared" si="1"/>
        <v>275.14999999999998</v>
      </c>
      <c r="Z6">
        <f t="shared" si="1"/>
        <v>276.14999999999998</v>
      </c>
      <c r="AA6">
        <f t="shared" si="1"/>
        <v>277.14999999999998</v>
      </c>
      <c r="AB6">
        <f t="shared" si="1"/>
        <v>278.14999999999998</v>
      </c>
      <c r="AC6">
        <f t="shared" si="1"/>
        <v>279.14999999999998</v>
      </c>
      <c r="AD6">
        <f t="shared" si="1"/>
        <v>280.14999999999998</v>
      </c>
      <c r="AE6">
        <f t="shared" si="1"/>
        <v>281.14999999999998</v>
      </c>
      <c r="AF6">
        <f t="shared" si="1"/>
        <v>282.14999999999998</v>
      </c>
      <c r="AG6">
        <f t="shared" si="1"/>
        <v>283.14999999999998</v>
      </c>
      <c r="AH6">
        <f t="shared" si="1"/>
        <v>284.14999999999998</v>
      </c>
      <c r="AI6">
        <f t="shared" si="1"/>
        <v>285.14999999999998</v>
      </c>
      <c r="AJ6">
        <f t="shared" si="1"/>
        <v>286.14999999999998</v>
      </c>
      <c r="AK6">
        <f t="shared" si="1"/>
        <v>287.14999999999998</v>
      </c>
      <c r="AL6">
        <f t="shared" si="1"/>
        <v>288.14999999999998</v>
      </c>
      <c r="AM6">
        <f t="shared" si="1"/>
        <v>289.14999999999998</v>
      </c>
      <c r="AN6">
        <f t="shared" si="1"/>
        <v>290.14999999999998</v>
      </c>
      <c r="AO6">
        <f t="shared" si="1"/>
        <v>291.14999999999998</v>
      </c>
      <c r="AP6">
        <f t="shared" si="1"/>
        <v>292.14999999999998</v>
      </c>
      <c r="AQ6">
        <f t="shared" si="1"/>
        <v>293.149</v>
      </c>
      <c r="AR6">
        <f t="shared" si="1"/>
        <v>293.149</v>
      </c>
      <c r="AS6">
        <f t="shared" si="1"/>
        <v>293.149</v>
      </c>
    </row>
    <row r="7" spans="1:55" x14ac:dyDescent="0.25">
      <c r="A7" s="16" t="s">
        <v>56</v>
      </c>
      <c r="B7" s="13">
        <v>1.65</v>
      </c>
      <c r="E7" s="16"/>
      <c r="F7" s="18"/>
      <c r="I7" s="16"/>
    </row>
    <row r="8" spans="1:55" x14ac:dyDescent="0.25">
      <c r="A8" s="16"/>
      <c r="B8" s="13"/>
      <c r="E8" s="16"/>
      <c r="F8" s="18"/>
      <c r="I8" s="16" t="s">
        <v>47</v>
      </c>
      <c r="J8" t="s">
        <v>48</v>
      </c>
      <c r="M8">
        <f>(20-M5)*$F$5</f>
        <v>1831.6907023071035</v>
      </c>
      <c r="N8">
        <f t="shared" ref="N8:AS8" si="2">(20-N5)*$F$5</f>
        <v>1770.6343455635333</v>
      </c>
      <c r="O8">
        <f t="shared" si="2"/>
        <v>1709.5779888199631</v>
      </c>
      <c r="P8">
        <f t="shared" si="2"/>
        <v>1648.521632076393</v>
      </c>
      <c r="Q8">
        <f t="shared" si="2"/>
        <v>1587.465275332823</v>
      </c>
      <c r="R8">
        <f t="shared" si="2"/>
        <v>1526.4089185892528</v>
      </c>
      <c r="S8">
        <f t="shared" si="2"/>
        <v>1465.3525618456827</v>
      </c>
      <c r="T8">
        <f t="shared" si="2"/>
        <v>1404.2962051021127</v>
      </c>
      <c r="U8">
        <f t="shared" si="2"/>
        <v>1343.2398483585425</v>
      </c>
      <c r="V8">
        <f t="shared" si="2"/>
        <v>1282.1834916149724</v>
      </c>
      <c r="W8">
        <f t="shared" si="2"/>
        <v>1221.1271348714022</v>
      </c>
      <c r="X8">
        <f t="shared" si="2"/>
        <v>1160.0707781278322</v>
      </c>
      <c r="Y8">
        <f t="shared" si="2"/>
        <v>1099.0144213842621</v>
      </c>
      <c r="Z8">
        <f t="shared" si="2"/>
        <v>1037.9580646406919</v>
      </c>
      <c r="AA8">
        <f t="shared" si="2"/>
        <v>976.90170789712181</v>
      </c>
      <c r="AB8">
        <f t="shared" si="2"/>
        <v>915.84535115355175</v>
      </c>
      <c r="AC8">
        <f t="shared" si="2"/>
        <v>854.78899440998157</v>
      </c>
      <c r="AD8">
        <f t="shared" si="2"/>
        <v>793.73263766641151</v>
      </c>
      <c r="AE8">
        <f t="shared" si="2"/>
        <v>732.67628092284133</v>
      </c>
      <c r="AF8">
        <f t="shared" si="2"/>
        <v>671.61992417927127</v>
      </c>
      <c r="AG8">
        <f t="shared" si="2"/>
        <v>610.56356743570109</v>
      </c>
      <c r="AH8">
        <f t="shared" si="2"/>
        <v>549.50721069213103</v>
      </c>
      <c r="AI8">
        <f t="shared" si="2"/>
        <v>488.4508539485609</v>
      </c>
      <c r="AJ8">
        <f t="shared" si="2"/>
        <v>427.39449720499078</v>
      </c>
      <c r="AK8">
        <f t="shared" si="2"/>
        <v>366.33814046142066</v>
      </c>
      <c r="AL8">
        <f t="shared" si="2"/>
        <v>305.28178371785054</v>
      </c>
      <c r="AM8">
        <f t="shared" si="2"/>
        <v>244.22542697428045</v>
      </c>
      <c r="AN8">
        <f t="shared" si="2"/>
        <v>183.16907023071033</v>
      </c>
      <c r="AO8">
        <f t="shared" si="2"/>
        <v>122.11271348714023</v>
      </c>
      <c r="AP8">
        <f t="shared" si="2"/>
        <v>61.056356743570113</v>
      </c>
      <c r="AQ8">
        <f t="shared" si="2"/>
        <v>6.1056356743644735E-2</v>
      </c>
      <c r="AR8">
        <f t="shared" si="2"/>
        <v>6.1056356743644735E-2</v>
      </c>
      <c r="AS8">
        <f t="shared" si="2"/>
        <v>6.1056356743644735E-2</v>
      </c>
    </row>
    <row r="9" spans="1:55" ht="30" customHeight="1" x14ac:dyDescent="0.25">
      <c r="A9" s="16"/>
      <c r="B9" s="13"/>
      <c r="E9" s="16"/>
      <c r="F9" s="18"/>
      <c r="I9" s="17" t="s">
        <v>61</v>
      </c>
      <c r="J9" t="s">
        <v>50</v>
      </c>
      <c r="K9">
        <f t="shared" ref="K9" si="3">SUM(M9:BC9)</f>
        <v>200875.60047926422</v>
      </c>
      <c r="M9">
        <f>M8*M4</f>
        <v>1064.0936993618593</v>
      </c>
      <c r="N9">
        <f t="shared" ref="N9:AS9" si="4">N8*N4</f>
        <v>1028.6239093831307</v>
      </c>
      <c r="O9">
        <f t="shared" si="4"/>
        <v>1135.0332793193143</v>
      </c>
      <c r="P9">
        <f t="shared" si="4"/>
        <v>1368.120470608106</v>
      </c>
      <c r="Q9">
        <f t="shared" si="4"/>
        <v>1712.6841446871817</v>
      </c>
      <c r="R9">
        <f t="shared" si="4"/>
        <v>2026.8451416416365</v>
      </c>
      <c r="S9">
        <f t="shared" si="4"/>
        <v>4256.3747974474372</v>
      </c>
      <c r="T9">
        <f t="shared" si="4"/>
        <v>4661.7438257757558</v>
      </c>
      <c r="U9">
        <f t="shared" si="4"/>
        <v>7134.4948985785477</v>
      </c>
      <c r="V9">
        <f t="shared" si="4"/>
        <v>10108.890143937651</v>
      </c>
      <c r="W9">
        <f t="shared" si="4"/>
        <v>13275.83567775273</v>
      </c>
      <c r="X9">
        <f t="shared" si="4"/>
        <v>14730.097066880589</v>
      </c>
      <c r="Y9">
        <f t="shared" si="4"/>
        <v>16964.693835540507</v>
      </c>
      <c r="Z9">
        <f t="shared" si="4"/>
        <v>16280.633600236459</v>
      </c>
      <c r="AA9">
        <f t="shared" si="4"/>
        <v>14350.063602822802</v>
      </c>
      <c r="AB9">
        <f t="shared" si="4"/>
        <v>14669.291712631355</v>
      </c>
      <c r="AC9">
        <f t="shared" si="4"/>
        <v>12059.728592767746</v>
      </c>
      <c r="AD9">
        <f t="shared" si="4"/>
        <v>13306.238354877349</v>
      </c>
      <c r="AE9">
        <f t="shared" si="4"/>
        <v>10276.104868123108</v>
      </c>
      <c r="AF9">
        <f t="shared" si="4"/>
        <v>8193.5214850863213</v>
      </c>
      <c r="AG9">
        <f t="shared" si="4"/>
        <v>7347.3136384509298</v>
      </c>
      <c r="AH9">
        <f t="shared" si="4"/>
        <v>6931.810384414398</v>
      </c>
      <c r="AI9">
        <f t="shared" si="4"/>
        <v>5675.1663965965836</v>
      </c>
      <c r="AJ9">
        <f t="shared" si="4"/>
        <v>4398.2539573623526</v>
      </c>
      <c r="AK9">
        <f t="shared" si="4"/>
        <v>3587.515900705695</v>
      </c>
      <c r="AL9">
        <f t="shared" si="4"/>
        <v>2254.8652200763217</v>
      </c>
      <c r="AM9">
        <f t="shared" si="4"/>
        <v>1317.4493420670599</v>
      </c>
      <c r="AN9">
        <f t="shared" si="4"/>
        <v>486.44283399399183</v>
      </c>
      <c r="AO9">
        <f t="shared" si="4"/>
        <v>212.81873987237191</v>
      </c>
      <c r="AP9">
        <f t="shared" si="4"/>
        <v>60.805354249249135</v>
      </c>
      <c r="AQ9">
        <f t="shared" si="4"/>
        <v>2.5335564270551447E-2</v>
      </c>
      <c r="AR9">
        <f t="shared" si="4"/>
        <v>1.0134225708220578E-2</v>
      </c>
      <c r="AS9">
        <f t="shared" si="4"/>
        <v>1.0134225708220578E-2</v>
      </c>
    </row>
    <row r="10" spans="1:55" x14ac:dyDescent="0.25">
      <c r="A10" s="16"/>
      <c r="B10" s="13"/>
      <c r="E10" s="16"/>
      <c r="F10" s="18"/>
      <c r="I10" s="16" t="s">
        <v>52</v>
      </c>
      <c r="J10" t="s">
        <v>43</v>
      </c>
      <c r="M10">
        <f>20+$B$7*2.125*(20-M5)^0.78</f>
        <v>69.773417082366706</v>
      </c>
      <c r="N10">
        <f t="shared" ref="N10:AS10" si="5">20+$B$7*2.125*(20-N5)^0.78</f>
        <v>68.47449763434517</v>
      </c>
      <c r="O10">
        <f t="shared" si="5"/>
        <v>67.165684657944126</v>
      </c>
      <c r="P10">
        <f t="shared" si="5"/>
        <v>65.846545198315411</v>
      </c>
      <c r="Q10">
        <f t="shared" si="5"/>
        <v>64.516610533756904</v>
      </c>
      <c r="R10">
        <f t="shared" si="5"/>
        <v>63.17537172338244</v>
      </c>
      <c r="S10">
        <f t="shared" si="5"/>
        <v>61.82227439904284</v>
      </c>
      <c r="T10">
        <f t="shared" si="5"/>
        <v>60.456712636124252</v>
      </c>
      <c r="U10">
        <f t="shared" si="5"/>
        <v>59.078021692830504</v>
      </c>
      <c r="V10">
        <f t="shared" si="5"/>
        <v>57.685469347653978</v>
      </c>
      <c r="W10">
        <f t="shared" si="5"/>
        <v>56.278245484087535</v>
      </c>
      <c r="X10">
        <f t="shared" si="5"/>
        <v>54.855449461619941</v>
      </c>
      <c r="Y10">
        <f t="shared" si="5"/>
        <v>53.416074659881765</v>
      </c>
      <c r="Z10">
        <f t="shared" si="5"/>
        <v>51.958989369017715</v>
      </c>
      <c r="AA10">
        <f t="shared" si="5"/>
        <v>50.482912893855925</v>
      </c>
      <c r="AB10">
        <f t="shared" si="5"/>
        <v>48.98638529456764</v>
      </c>
      <c r="AC10">
        <f t="shared" si="5"/>
        <v>47.467728524943752</v>
      </c>
      <c r="AD10">
        <f t="shared" si="5"/>
        <v>45.924995722201054</v>
      </c>
      <c r="AE10">
        <f t="shared" si="5"/>
        <v>44.355903827532515</v>
      </c>
      <c r="AF10">
        <f t="shared" si="5"/>
        <v>42.75774217919129</v>
      </c>
      <c r="AG10">
        <f t="shared" si="5"/>
        <v>41.127245486732178</v>
      </c>
      <c r="AH10">
        <f t="shared" si="5"/>
        <v>39.460412242150895</v>
      </c>
      <c r="AI10">
        <f t="shared" si="5"/>
        <v>37.752236230433169</v>
      </c>
      <c r="AJ10">
        <f t="shared" si="5"/>
        <v>35.996292978499824</v>
      </c>
      <c r="AK10">
        <f t="shared" si="5"/>
        <v>34.184069608361369</v>
      </c>
      <c r="AL10">
        <f t="shared" si="5"/>
        <v>32.303806203980528</v>
      </c>
      <c r="AM10">
        <f t="shared" si="5"/>
        <v>30.338312886253846</v>
      </c>
      <c r="AN10">
        <f t="shared" si="5"/>
        <v>28.260331132832484</v>
      </c>
      <c r="AO10">
        <f t="shared" si="5"/>
        <v>26.020690123019747</v>
      </c>
      <c r="AP10">
        <f t="shared" si="5"/>
        <v>23.506250000000001</v>
      </c>
      <c r="AQ10">
        <f t="shared" si="5"/>
        <v>20.016026654648385</v>
      </c>
      <c r="AR10">
        <f t="shared" si="5"/>
        <v>20.016026654648385</v>
      </c>
      <c r="AS10">
        <f t="shared" si="5"/>
        <v>20.016026654648385</v>
      </c>
    </row>
    <row r="11" spans="1:55" x14ac:dyDescent="0.25">
      <c r="A11" s="16"/>
      <c r="B11" s="13"/>
      <c r="E11" s="16"/>
      <c r="F11" s="18"/>
      <c r="I11" s="16" t="s">
        <v>76</v>
      </c>
      <c r="J11" t="s">
        <v>53</v>
      </c>
      <c r="M11">
        <f>M10+273.15</f>
        <v>342.92341708236665</v>
      </c>
      <c r="N11">
        <f t="shared" ref="N11:AS11" si="6">N10+273.15</f>
        <v>341.62449763434518</v>
      </c>
      <c r="O11">
        <f t="shared" si="6"/>
        <v>340.31568465794408</v>
      </c>
      <c r="P11">
        <f t="shared" si="6"/>
        <v>338.9965451983154</v>
      </c>
      <c r="Q11">
        <f t="shared" si="6"/>
        <v>337.66661053375685</v>
      </c>
      <c r="R11">
        <f t="shared" si="6"/>
        <v>336.32537172338243</v>
      </c>
      <c r="S11">
        <f t="shared" si="6"/>
        <v>334.97227439904282</v>
      </c>
      <c r="T11">
        <f t="shared" si="6"/>
        <v>333.60671263612426</v>
      </c>
      <c r="U11">
        <f t="shared" si="6"/>
        <v>332.22802169283045</v>
      </c>
      <c r="V11">
        <f t="shared" si="6"/>
        <v>330.83546934765394</v>
      </c>
      <c r="W11">
        <f t="shared" si="6"/>
        <v>329.42824548408748</v>
      </c>
      <c r="X11">
        <f t="shared" si="6"/>
        <v>328.00544946161995</v>
      </c>
      <c r="Y11">
        <f t="shared" si="6"/>
        <v>326.56607465988174</v>
      </c>
      <c r="Z11">
        <f t="shared" si="6"/>
        <v>325.10898936901771</v>
      </c>
      <c r="AA11">
        <f t="shared" si="6"/>
        <v>323.63291289385592</v>
      </c>
      <c r="AB11">
        <f t="shared" si="6"/>
        <v>322.13638529456762</v>
      </c>
      <c r="AC11">
        <f t="shared" si="6"/>
        <v>320.61772852494374</v>
      </c>
      <c r="AD11">
        <f t="shared" si="6"/>
        <v>319.07499572220104</v>
      </c>
      <c r="AE11">
        <f t="shared" si="6"/>
        <v>317.50590382753251</v>
      </c>
      <c r="AF11">
        <f t="shared" si="6"/>
        <v>315.90774217919125</v>
      </c>
      <c r="AG11">
        <f t="shared" si="6"/>
        <v>314.27724548673217</v>
      </c>
      <c r="AH11">
        <f t="shared" si="6"/>
        <v>312.61041224215086</v>
      </c>
      <c r="AI11">
        <f t="shared" si="6"/>
        <v>310.90223623043312</v>
      </c>
      <c r="AJ11">
        <f t="shared" si="6"/>
        <v>309.14629297849979</v>
      </c>
      <c r="AK11">
        <f t="shared" si="6"/>
        <v>307.33406960836135</v>
      </c>
      <c r="AL11">
        <f t="shared" si="6"/>
        <v>305.45380620398049</v>
      </c>
      <c r="AM11">
        <f t="shared" si="6"/>
        <v>303.48831288625382</v>
      </c>
      <c r="AN11">
        <f t="shared" si="6"/>
        <v>301.41033113283248</v>
      </c>
      <c r="AO11">
        <f t="shared" si="6"/>
        <v>299.17069012301971</v>
      </c>
      <c r="AP11">
        <f t="shared" si="6"/>
        <v>296.65625</v>
      </c>
      <c r="AQ11">
        <f t="shared" si="6"/>
        <v>293.16602665464836</v>
      </c>
      <c r="AR11">
        <f t="shared" si="6"/>
        <v>293.16602665464836</v>
      </c>
      <c r="AS11">
        <f t="shared" si="6"/>
        <v>293.16602665464836</v>
      </c>
    </row>
    <row r="12" spans="1:55" x14ac:dyDescent="0.25">
      <c r="A12" s="16"/>
      <c r="B12" s="13"/>
      <c r="E12" s="16"/>
      <c r="F12" s="18"/>
      <c r="I12" s="16"/>
    </row>
    <row r="13" spans="1:55" ht="30" x14ac:dyDescent="0.25">
      <c r="A13" s="16" t="s">
        <v>73</v>
      </c>
      <c r="B13" s="13">
        <v>8</v>
      </c>
      <c r="C13" t="s">
        <v>43</v>
      </c>
      <c r="E13" s="17" t="s">
        <v>74</v>
      </c>
      <c r="F13" s="18">
        <f>B13+273.15</f>
        <v>281.14999999999998</v>
      </c>
      <c r="G13" t="s">
        <v>53</v>
      </c>
      <c r="I13" s="16" t="s">
        <v>46</v>
      </c>
      <c r="M13" s="6">
        <f>M$11/(M$11-$F$13)*$B$14</f>
        <v>2.8866814449500873</v>
      </c>
      <c r="N13" s="6">
        <f t="shared" ref="N13:AS13" si="7">N$11/(N$11-$F$13)*$B$14</f>
        <v>2.9375149148650386</v>
      </c>
      <c r="O13" s="6">
        <f t="shared" si="7"/>
        <v>2.9909931245656627</v>
      </c>
      <c r="P13" s="6">
        <f t="shared" si="7"/>
        <v>3.0473419440830751</v>
      </c>
      <c r="Q13" s="6">
        <f t="shared" si="7"/>
        <v>3.1068147190581645</v>
      </c>
      <c r="R13" s="6">
        <f t="shared" si="7"/>
        <v>3.1696966931723196</v>
      </c>
      <c r="S13" s="6">
        <f t="shared" si="7"/>
        <v>3.2363103312222705</v>
      </c>
      <c r="T13" s="6">
        <f t="shared" si="7"/>
        <v>3.3070217681029606</v>
      </c>
      <c r="U13" s="6">
        <f t="shared" si="7"/>
        <v>3.3822486767243172</v>
      </c>
      <c r="V13" s="6">
        <f t="shared" si="7"/>
        <v>3.4624699397934364</v>
      </c>
      <c r="W13" s="6">
        <f t="shared" si="7"/>
        <v>3.548237636518643</v>
      </c>
      <c r="X13" s="6">
        <f t="shared" si="7"/>
        <v>3.6401920305930062</v>
      </c>
      <c r="Y13" s="6">
        <f t="shared" si="7"/>
        <v>3.7390804928622297</v>
      </c>
      <c r="Z13" s="6">
        <f t="shared" si="7"/>
        <v>3.8457816455407472</v>
      </c>
      <c r="AA13" s="6">
        <f t="shared" si="7"/>
        <v>3.9613365290011409</v>
      </c>
      <c r="AB13" s="6">
        <f t="shared" si="7"/>
        <v>4.0869893538861835</v>
      </c>
      <c r="AC13" s="6">
        <f t="shared" si="7"/>
        <v>4.2242415528829396</v>
      </c>
      <c r="AD13" s="6">
        <f t="shared" si="7"/>
        <v>4.3749246273063278</v>
      </c>
      <c r="AE13" s="6">
        <f t="shared" si="7"/>
        <v>4.54130010832748</v>
      </c>
      <c r="AF13" s="6">
        <f t="shared" si="7"/>
        <v>4.7261995640075174</v>
      </c>
      <c r="AG13" s="6">
        <f t="shared" si="7"/>
        <v>4.9332253633509557</v>
      </c>
      <c r="AH13" s="6">
        <f t="shared" si="7"/>
        <v>5.1670465445498168</v>
      </c>
      <c r="AI13" s="6">
        <f t="shared" si="7"/>
        <v>5.4338491260853905</v>
      </c>
      <c r="AJ13" s="6">
        <f t="shared" si="7"/>
        <v>5.7420485087891828</v>
      </c>
      <c r="AK13" s="6">
        <f t="shared" si="7"/>
        <v>6.1034712551067507</v>
      </c>
      <c r="AL13" s="6">
        <f t="shared" si="7"/>
        <v>6.5354363795106076</v>
      </c>
      <c r="AM13" s="6">
        <f t="shared" si="7"/>
        <v>7.0647198606464467</v>
      </c>
      <c r="AN13" s="6">
        <f t="shared" si="7"/>
        <v>7.7359728802794114</v>
      </c>
      <c r="AO13" s="6">
        <f t="shared" si="7"/>
        <v>8.632785859030216</v>
      </c>
      <c r="AP13" s="6">
        <f t="shared" si="7"/>
        <v>9.9483272873841049</v>
      </c>
      <c r="AQ13" s="6">
        <f t="shared" si="7"/>
        <v>12.686917085145071</v>
      </c>
      <c r="AR13" s="6">
        <f t="shared" si="7"/>
        <v>12.686917085145071</v>
      </c>
      <c r="AS13" s="6">
        <f t="shared" si="7"/>
        <v>12.686917085145071</v>
      </c>
    </row>
    <row r="14" spans="1:55" x14ac:dyDescent="0.25">
      <c r="A14" s="16" t="s">
        <v>75</v>
      </c>
      <c r="B14" s="14">
        <v>0.52</v>
      </c>
      <c r="C14" t="s">
        <v>45</v>
      </c>
      <c r="E14" s="16" t="s">
        <v>79</v>
      </c>
      <c r="F14" s="20">
        <f>K9/K15</f>
        <v>4.0167798668747015</v>
      </c>
      <c r="I14" s="16" t="s">
        <v>77</v>
      </c>
      <c r="J14" t="s">
        <v>50</v>
      </c>
      <c r="M14">
        <f>M8/M13</f>
        <v>634.53163684251786</v>
      </c>
      <c r="N14">
        <f t="shared" ref="N14:AS14" si="8">N8/N13</f>
        <v>602.76607843023783</v>
      </c>
      <c r="O14">
        <f t="shared" si="8"/>
        <v>571.57536564655913</v>
      </c>
      <c r="P14">
        <f t="shared" si="8"/>
        <v>540.97034803635142</v>
      </c>
      <c r="Q14">
        <f t="shared" si="8"/>
        <v>510.96232601024417</v>
      </c>
      <c r="R14">
        <f t="shared" si="8"/>
        <v>481.56308516118014</v>
      </c>
      <c r="S14">
        <f t="shared" si="8"/>
        <v>452.78493465497081</v>
      </c>
      <c r="T14">
        <f t="shared" si="8"/>
        <v>424.64075037149604</v>
      </c>
      <c r="U14">
        <f t="shared" si="8"/>
        <v>397.14402362024441</v>
      </c>
      <c r="V14">
        <f t="shared" si="8"/>
        <v>370.3089164411532</v>
      </c>
      <c r="W14">
        <f t="shared" si="8"/>
        <v>344.15032474248608</v>
      </c>
      <c r="X14">
        <f t="shared" si="8"/>
        <v>318.68395084059637</v>
      </c>
      <c r="Y14">
        <f t="shared" si="8"/>
        <v>293.92638737845874</v>
      </c>
      <c r="Z14">
        <f t="shared" si="8"/>
        <v>269.89521514936314</v>
      </c>
      <c r="AA14">
        <f t="shared" si="8"/>
        <v>246.60911809566696</v>
      </c>
      <c r="AB14">
        <f t="shared" si="8"/>
        <v>224.08801977492419</v>
      </c>
      <c r="AC14">
        <f t="shared" si="8"/>
        <v>202.35324701699631</v>
      </c>
      <c r="AD14">
        <f t="shared" si="8"/>
        <v>181.42772854011849</v>
      </c>
      <c r="AE14">
        <f t="shared" si="8"/>
        <v>161.33623928075508</v>
      </c>
      <c r="AF14">
        <f t="shared" si="8"/>
        <v>142.10570566973269</v>
      </c>
      <c r="AG14">
        <f t="shared" si="8"/>
        <v>123.76559400095358</v>
      </c>
      <c r="AH14">
        <f t="shared" si="8"/>
        <v>106.34841508670932</v>
      </c>
      <c r="AI14">
        <f t="shared" si="8"/>
        <v>89.890396773023156</v>
      </c>
      <c r="AJ14">
        <f t="shared" si="8"/>
        <v>74.432407972658325</v>
      </c>
      <c r="AK14">
        <f t="shared" si="8"/>
        <v>60.021277261674157</v>
      </c>
      <c r="AL14">
        <f t="shared" si="8"/>
        <v>46.711767354196311</v>
      </c>
      <c r="AM14">
        <f t="shared" si="8"/>
        <v>34.569725593044673</v>
      </c>
      <c r="AN14">
        <f t="shared" si="8"/>
        <v>23.677573986543571</v>
      </c>
      <c r="AO14">
        <f t="shared" si="8"/>
        <v>14.145226753123474</v>
      </c>
      <c r="AP14">
        <f t="shared" si="8"/>
        <v>6.1373490215785589</v>
      </c>
      <c r="AQ14">
        <f t="shared" si="8"/>
        <v>4.8125447919207063E-3</v>
      </c>
      <c r="AR14">
        <f t="shared" si="8"/>
        <v>4.8125447919207063E-3</v>
      </c>
      <c r="AS14">
        <f t="shared" si="8"/>
        <v>4.8125447919207063E-3</v>
      </c>
    </row>
    <row r="15" spans="1:55" ht="30" customHeight="1" x14ac:dyDescent="0.25">
      <c r="A15" s="16"/>
      <c r="B15" s="14"/>
      <c r="E15" s="17" t="s">
        <v>80</v>
      </c>
      <c r="F15" s="20">
        <f>K15</f>
        <v>50009.11355283147</v>
      </c>
      <c r="G15" t="s">
        <v>50</v>
      </c>
      <c r="I15" s="17" t="s">
        <v>78</v>
      </c>
      <c r="J15" t="s">
        <v>50</v>
      </c>
      <c r="K15">
        <f>SUM(M15:BC15)</f>
        <v>50009.11355283147</v>
      </c>
      <c r="M15">
        <f>M14*M4</f>
        <v>368.6217962232609</v>
      </c>
      <c r="N15">
        <f t="shared" ref="N15:AS15" si="9">N14*N4</f>
        <v>350.1680635485011</v>
      </c>
      <c r="O15">
        <f t="shared" si="9"/>
        <v>379.48374738712857</v>
      </c>
      <c r="P15">
        <f t="shared" si="9"/>
        <v>448.9553505029329</v>
      </c>
      <c r="Q15">
        <f t="shared" si="9"/>
        <v>551.26690825205844</v>
      </c>
      <c r="R15">
        <f t="shared" si="9"/>
        <v>639.44450773714698</v>
      </c>
      <c r="S15">
        <f t="shared" si="9"/>
        <v>1315.1936501219013</v>
      </c>
      <c r="T15">
        <f t="shared" si="9"/>
        <v>1409.6501785199671</v>
      </c>
      <c r="U15">
        <f t="shared" si="9"/>
        <v>2109.3939507393802</v>
      </c>
      <c r="V15">
        <f t="shared" si="9"/>
        <v>2919.5604062170505</v>
      </c>
      <c r="W15">
        <f t="shared" si="9"/>
        <v>3741.5294683527259</v>
      </c>
      <c r="X15">
        <f t="shared" si="9"/>
        <v>4046.5164867912149</v>
      </c>
      <c r="Y15">
        <f t="shared" si="9"/>
        <v>4537.1298820460006</v>
      </c>
      <c r="Z15">
        <f t="shared" si="9"/>
        <v>4233.3744088445956</v>
      </c>
      <c r="AA15">
        <f t="shared" si="9"/>
        <v>3622.5308043801065</v>
      </c>
      <c r="AB15">
        <f t="shared" si="9"/>
        <v>3589.2659467494841</v>
      </c>
      <c r="AC15">
        <f t="shared" si="9"/>
        <v>2854.8861237675392</v>
      </c>
      <c r="AD15">
        <f t="shared" si="9"/>
        <v>3041.4783084091882</v>
      </c>
      <c r="AE15">
        <f t="shared" si="9"/>
        <v>2262.8112265207033</v>
      </c>
      <c r="AF15">
        <f t="shared" si="9"/>
        <v>1733.6384920104249</v>
      </c>
      <c r="AG15">
        <f t="shared" si="9"/>
        <v>1489.3529278095202</v>
      </c>
      <c r="AH15">
        <f t="shared" si="9"/>
        <v>1341.5420830156927</v>
      </c>
      <c r="AI15">
        <f t="shared" si="9"/>
        <v>1044.4100056721745</v>
      </c>
      <c r="AJ15">
        <f t="shared" si="9"/>
        <v>765.97297125408761</v>
      </c>
      <c r="AK15">
        <f t="shared" si="9"/>
        <v>587.78287809646588</v>
      </c>
      <c r="AL15">
        <f t="shared" si="9"/>
        <v>345.02137105115122</v>
      </c>
      <c r="AM15">
        <f t="shared" si="9"/>
        <v>186.48288510430882</v>
      </c>
      <c r="AN15">
        <f t="shared" si="9"/>
        <v>62.880628141036382</v>
      </c>
      <c r="AO15">
        <f t="shared" si="9"/>
        <v>24.652382596720564</v>
      </c>
      <c r="AP15">
        <f>AP14*AP4</f>
        <v>6.1121183986738128</v>
      </c>
      <c r="AQ15">
        <f t="shared" si="9"/>
        <v>1.9969835146330778E-3</v>
      </c>
      <c r="AR15">
        <f>AR14*AR4</f>
        <v>7.9879340585323113E-4</v>
      </c>
      <c r="AS15">
        <f t="shared" si="9"/>
        <v>7.9879340585323113E-4</v>
      </c>
    </row>
    <row r="16" spans="1:55" ht="30" customHeight="1" x14ac:dyDescent="0.25">
      <c r="A16" s="16"/>
      <c r="B16" s="14"/>
      <c r="E16" s="17"/>
      <c r="F16" s="20"/>
      <c r="I16" s="17"/>
    </row>
    <row r="17" spans="1:45" ht="30" customHeight="1" x14ac:dyDescent="0.25">
      <c r="A17" s="16" t="s">
        <v>101</v>
      </c>
      <c r="B17" s="14">
        <v>0.42</v>
      </c>
      <c r="E17" s="16" t="s">
        <v>105</v>
      </c>
      <c r="F17" s="20">
        <f>K9/K19</f>
        <v>2.9772990333287495</v>
      </c>
      <c r="I17" s="16" t="s">
        <v>102</v>
      </c>
      <c r="M17">
        <f>M$11/(M$11-M6)*$B$17</f>
        <v>1.805461523929508</v>
      </c>
      <c r="N17">
        <f t="shared" ref="N17:AS17" si="10">N$11/(N$11-N6)*$B$17</f>
        <v>1.8519937965085669</v>
      </c>
      <c r="O17">
        <f t="shared" si="10"/>
        <v>1.9015670276506991</v>
      </c>
      <c r="P17">
        <f t="shared" si="10"/>
        <v>1.954499675937754</v>
      </c>
      <c r="Q17">
        <f t="shared" si="10"/>
        <v>2.0111570217386934</v>
      </c>
      <c r="R17">
        <f t="shared" si="10"/>
        <v>2.0719601896262652</v>
      </c>
      <c r="S17">
        <f t="shared" si="10"/>
        <v>2.1373973557140378</v>
      </c>
      <c r="T17">
        <f t="shared" si="10"/>
        <v>2.2080377864927154</v>
      </c>
      <c r="U17">
        <f t="shared" si="10"/>
        <v>2.2845495850001951</v>
      </c>
      <c r="V17">
        <f t="shared" si="10"/>
        <v>2.3677223454219409</v>
      </c>
      <c r="W17">
        <f t="shared" si="10"/>
        <v>2.4584963854716748</v>
      </c>
      <c r="X17">
        <f t="shared" si="10"/>
        <v>2.5580009107909594</v>
      </c>
      <c r="Y17">
        <f t="shared" si="10"/>
        <v>2.6676044848707585</v>
      </c>
      <c r="Z17">
        <f t="shared" si="10"/>
        <v>2.7889827240060727</v>
      </c>
      <c r="AA17">
        <f t="shared" si="10"/>
        <v>2.9242105314227418</v>
      </c>
      <c r="AB17">
        <f t="shared" si="10"/>
        <v>3.0758899809034261</v>
      </c>
      <c r="AC17">
        <f t="shared" si="10"/>
        <v>3.2473311360538037</v>
      </c>
      <c r="AD17">
        <f t="shared" si="10"/>
        <v>3.4428134343221086</v>
      </c>
      <c r="AE17">
        <f t="shared" si="10"/>
        <v>3.6679731644183491</v>
      </c>
      <c r="AF17">
        <f t="shared" si="10"/>
        <v>3.9303947228155218</v>
      </c>
      <c r="AG17">
        <f t="shared" si="10"/>
        <v>4.2405436472266782</v>
      </c>
      <c r="AH17">
        <f t="shared" si="10"/>
        <v>4.6132983607050067</v>
      </c>
      <c r="AI17">
        <f t="shared" si="10"/>
        <v>5.0705864161989949</v>
      </c>
      <c r="AJ17">
        <f t="shared" si="10"/>
        <v>5.6461901564901815</v>
      </c>
      <c r="AK17">
        <f t="shared" si="10"/>
        <v>6.3951577526288101</v>
      </c>
      <c r="AL17">
        <f t="shared" si="10"/>
        <v>7.414010368202125</v>
      </c>
      <c r="AM17">
        <f t="shared" si="10"/>
        <v>8.889824934314797</v>
      </c>
      <c r="AN17">
        <f t="shared" si="10"/>
        <v>11.242328274581183</v>
      </c>
      <c r="AO17">
        <f t="shared" si="10"/>
        <v>15.665944940453739</v>
      </c>
      <c r="AP17">
        <f t="shared" si="10"/>
        <v>27.649514563106656</v>
      </c>
      <c r="AQ17">
        <f t="shared" si="10"/>
        <v>7231.586811258876</v>
      </c>
      <c r="AR17">
        <f>AR$11/(AR$11-AR6)*$B$17</f>
        <v>7231.586811258876</v>
      </c>
      <c r="AS17">
        <f t="shared" si="10"/>
        <v>7231.586811258876</v>
      </c>
    </row>
    <row r="18" spans="1:45" ht="30" customHeight="1" x14ac:dyDescent="0.25">
      <c r="A18" s="16"/>
      <c r="B18" s="14"/>
      <c r="E18" s="17" t="s">
        <v>103</v>
      </c>
      <c r="F18" s="20">
        <f>K19</f>
        <v>67469.071205345666</v>
      </c>
      <c r="G18" t="s">
        <v>50</v>
      </c>
      <c r="I18" s="16" t="s">
        <v>77</v>
      </c>
      <c r="J18" t="s">
        <v>50</v>
      </c>
      <c r="M18">
        <f>M8/M17</f>
        <v>1014.5276861511337</v>
      </c>
      <c r="N18">
        <f t="shared" ref="N18:AS18" si="11">N8/N17</f>
        <v>956.06926378564833</v>
      </c>
      <c r="O18">
        <f t="shared" si="11"/>
        <v>899.03640732142389</v>
      </c>
      <c r="P18">
        <f t="shared" si="11"/>
        <v>843.44942717140384</v>
      </c>
      <c r="Q18">
        <f t="shared" si="11"/>
        <v>789.329355278496</v>
      </c>
      <c r="R18">
        <f t="shared" si="11"/>
        <v>736.6979955655338</v>
      </c>
      <c r="S18">
        <f t="shared" si="11"/>
        <v>685.57798012066598</v>
      </c>
      <c r="T18">
        <f t="shared" si="11"/>
        <v>635.99283204873075</v>
      </c>
      <c r="U18">
        <f t="shared" si="11"/>
        <v>587.96703611860005</v>
      </c>
      <c r="V18">
        <f t="shared" si="11"/>
        <v>541.52611858992293</v>
      </c>
      <c r="W18">
        <f t="shared" si="11"/>
        <v>496.69673792793594</v>
      </c>
      <c r="X18">
        <f t="shared" si="11"/>
        <v>453.50678853711855</v>
      </c>
      <c r="Y18">
        <f t="shared" si="11"/>
        <v>411.98552019884897</v>
      </c>
      <c r="Z18">
        <f t="shared" si="11"/>
        <v>372.16367663610947</v>
      </c>
      <c r="AA18">
        <f t="shared" si="11"/>
        <v>334.07365762472006</v>
      </c>
      <c r="AB18">
        <f t="shared" si="11"/>
        <v>297.74971043813372</v>
      </c>
      <c r="AC18">
        <f t="shared" si="11"/>
        <v>263.2281583234938</v>
      </c>
      <c r="AD18">
        <f t="shared" si="11"/>
        <v>230.54767643042436</v>
      </c>
      <c r="AE18">
        <f t="shared" si="11"/>
        <v>199.74962958569679</v>
      </c>
      <c r="AF18">
        <f t="shared" si="11"/>
        <v>170.87849224928715</v>
      </c>
      <c r="AG18">
        <f t="shared" si="11"/>
        <v>143.98238014482189</v>
      </c>
      <c r="AH18">
        <f t="shared" si="11"/>
        <v>119.11373766169224</v>
      </c>
      <c r="AI18">
        <f t="shared" si="11"/>
        <v>96.330249374728666</v>
      </c>
      <c r="AJ18">
        <f t="shared" si="11"/>
        <v>75.696086273982374</v>
      </c>
      <c r="AK18">
        <f t="shared" si="11"/>
        <v>57.283675341836997</v>
      </c>
      <c r="AL18">
        <f t="shared" si="11"/>
        <v>41.17633622784917</v>
      </c>
      <c r="AM18">
        <f t="shared" si="11"/>
        <v>27.472467543378531</v>
      </c>
      <c r="AN18">
        <f t="shared" si="11"/>
        <v>16.29280570332163</v>
      </c>
      <c r="AO18">
        <f t="shared" si="11"/>
        <v>7.7947876078519798</v>
      </c>
      <c r="AP18">
        <f t="shared" si="11"/>
        <v>2.2082252693520679</v>
      </c>
      <c r="AQ18">
        <f t="shared" si="11"/>
        <v>8.4430095824316096E-6</v>
      </c>
      <c r="AR18">
        <f t="shared" si="11"/>
        <v>8.4430095824316096E-6</v>
      </c>
      <c r="AS18">
        <f t="shared" si="11"/>
        <v>8.4430095824316096E-6</v>
      </c>
    </row>
    <row r="19" spans="1:45" x14ac:dyDescent="0.25">
      <c r="A19" s="16"/>
      <c r="B19" s="14"/>
      <c r="E19" s="16"/>
      <c r="F19" s="20"/>
      <c r="I19" s="17" t="s">
        <v>78</v>
      </c>
      <c r="J19" t="s">
        <v>50</v>
      </c>
      <c r="K19">
        <f>SUM(M19:AS19)</f>
        <v>67469.071205345666</v>
      </c>
      <c r="M19">
        <f>M18*M4</f>
        <v>589.37489681081991</v>
      </c>
      <c r="N19">
        <f t="shared" ref="N19:AS19" si="12">N18*N4</f>
        <v>555.41433849418002</v>
      </c>
      <c r="O19">
        <f t="shared" si="12"/>
        <v>596.89364761524985</v>
      </c>
      <c r="P19">
        <f t="shared" si="12"/>
        <v>699.98500764738799</v>
      </c>
      <c r="Q19">
        <f t="shared" si="12"/>
        <v>851.59146012702945</v>
      </c>
      <c r="R19">
        <f t="shared" si="12"/>
        <v>978.22590983624718</v>
      </c>
      <c r="S19">
        <f t="shared" si="12"/>
        <v>1991.3820825447383</v>
      </c>
      <c r="T19">
        <f t="shared" si="12"/>
        <v>2111.2608915903329</v>
      </c>
      <c r="U19">
        <f t="shared" si="12"/>
        <v>3122.9328290451344</v>
      </c>
      <c r="V19">
        <f t="shared" si="12"/>
        <v>4269.4575922229569</v>
      </c>
      <c r="W19">
        <f t="shared" si="12"/>
        <v>5399.9817759364714</v>
      </c>
      <c r="X19">
        <f t="shared" si="12"/>
        <v>5758.4408999783727</v>
      </c>
      <c r="Y19">
        <f t="shared" si="12"/>
        <v>6359.5236594312519</v>
      </c>
      <c r="Z19">
        <f t="shared" si="12"/>
        <v>5837.4809783156652</v>
      </c>
      <c r="AA19">
        <f t="shared" si="12"/>
        <v>4907.3291572617854</v>
      </c>
      <c r="AB19">
        <f t="shared" si="12"/>
        <v>4769.1210686029826</v>
      </c>
      <c r="AC19">
        <f t="shared" si="12"/>
        <v>3713.7353991631649</v>
      </c>
      <c r="AD19">
        <f t="shared" si="12"/>
        <v>3864.9315766648137</v>
      </c>
      <c r="AE19">
        <f t="shared" si="12"/>
        <v>2801.5758042637281</v>
      </c>
      <c r="AF19">
        <f t="shared" si="12"/>
        <v>2084.6561383577591</v>
      </c>
      <c r="AG19">
        <f t="shared" si="12"/>
        <v>1732.6348340397542</v>
      </c>
      <c r="AH19">
        <f t="shared" si="12"/>
        <v>1502.5714450766793</v>
      </c>
      <c r="AI19">
        <f t="shared" si="12"/>
        <v>1119.2327535265226</v>
      </c>
      <c r="AJ19">
        <f t="shared" si="12"/>
        <v>778.97729893256417</v>
      </c>
      <c r="AK19">
        <f t="shared" si="12"/>
        <v>560.97379290307595</v>
      </c>
      <c r="AL19">
        <f t="shared" si="12"/>
        <v>304.13569823791863</v>
      </c>
      <c r="AM19">
        <f t="shared" si="12"/>
        <v>148.19744503423172</v>
      </c>
      <c r="AN19">
        <f t="shared" si="12"/>
        <v>43.268869411493284</v>
      </c>
      <c r="AO19">
        <f t="shared" si="12"/>
        <v>13.58480070505137</v>
      </c>
      <c r="AP19">
        <f t="shared" si="12"/>
        <v>2.1991472620782657</v>
      </c>
      <c r="AQ19">
        <f t="shared" si="12"/>
        <v>3.5034584983625509E-6</v>
      </c>
      <c r="AR19">
        <f t="shared" si="12"/>
        <v>1.4013833993450203E-6</v>
      </c>
      <c r="AS19">
        <f t="shared" si="12"/>
        <v>1.4013833993450203E-6</v>
      </c>
    </row>
    <row r="20" spans="1:45" x14ac:dyDescent="0.25">
      <c r="A20" s="16"/>
      <c r="B20" s="13"/>
      <c r="E20" s="16"/>
      <c r="F20" s="20"/>
      <c r="I20" s="16"/>
    </row>
    <row r="21" spans="1:45" x14ac:dyDescent="0.25">
      <c r="A21" s="16"/>
      <c r="B21" s="13"/>
      <c r="E21" s="16"/>
      <c r="F21" s="20"/>
      <c r="I21" s="16" t="s">
        <v>106</v>
      </c>
      <c r="M21">
        <f>M8/$B$22</f>
        <v>2035.2118914523371</v>
      </c>
      <c r="N21">
        <f t="shared" ref="N21:AS21" si="13">N8/$B$22</f>
        <v>1967.3714950705926</v>
      </c>
      <c r="O21">
        <f t="shared" si="13"/>
        <v>1899.5310986888478</v>
      </c>
      <c r="P21">
        <f t="shared" si="13"/>
        <v>1831.6907023071033</v>
      </c>
      <c r="Q21">
        <f t="shared" si="13"/>
        <v>1763.850305925359</v>
      </c>
      <c r="R21">
        <f t="shared" si="13"/>
        <v>1696.0099095436142</v>
      </c>
      <c r="S21">
        <f t="shared" si="13"/>
        <v>1628.1695131618696</v>
      </c>
      <c r="T21">
        <f t="shared" si="13"/>
        <v>1560.3291167801251</v>
      </c>
      <c r="U21">
        <f t="shared" si="13"/>
        <v>1492.4887203983806</v>
      </c>
      <c r="V21">
        <f t="shared" si="13"/>
        <v>1424.648324016636</v>
      </c>
      <c r="W21">
        <f t="shared" si="13"/>
        <v>1356.8079276348913</v>
      </c>
      <c r="X21">
        <f t="shared" si="13"/>
        <v>1288.9675312531469</v>
      </c>
      <c r="Y21">
        <f t="shared" si="13"/>
        <v>1221.1271348714022</v>
      </c>
      <c r="Z21">
        <f t="shared" si="13"/>
        <v>1153.2867384896576</v>
      </c>
      <c r="AA21">
        <f t="shared" si="13"/>
        <v>1085.4463421079131</v>
      </c>
      <c r="AB21">
        <f t="shared" si="13"/>
        <v>1017.6059457261686</v>
      </c>
      <c r="AC21">
        <f t="shared" si="13"/>
        <v>949.7655493444239</v>
      </c>
      <c r="AD21">
        <f t="shared" si="13"/>
        <v>881.92515296267948</v>
      </c>
      <c r="AE21">
        <f t="shared" si="13"/>
        <v>814.08475658093482</v>
      </c>
      <c r="AF21">
        <f t="shared" si="13"/>
        <v>746.24436019919028</v>
      </c>
      <c r="AG21">
        <f t="shared" si="13"/>
        <v>678.40396381744563</v>
      </c>
      <c r="AH21">
        <f t="shared" si="13"/>
        <v>610.56356743570109</v>
      </c>
      <c r="AI21">
        <f t="shared" si="13"/>
        <v>542.72317105395655</v>
      </c>
      <c r="AJ21">
        <f t="shared" si="13"/>
        <v>474.88277467221195</v>
      </c>
      <c r="AK21">
        <f t="shared" si="13"/>
        <v>407.04237829046741</v>
      </c>
      <c r="AL21">
        <f t="shared" si="13"/>
        <v>339.20198190872281</v>
      </c>
      <c r="AM21">
        <f t="shared" si="13"/>
        <v>271.36158552697827</v>
      </c>
      <c r="AN21">
        <f t="shared" si="13"/>
        <v>203.52118914523371</v>
      </c>
      <c r="AO21">
        <f t="shared" si="13"/>
        <v>135.68079276348914</v>
      </c>
      <c r="AP21">
        <f t="shared" si="13"/>
        <v>67.840396381744569</v>
      </c>
      <c r="AQ21">
        <f t="shared" si="13"/>
        <v>6.7840396381827484E-2</v>
      </c>
      <c r="AR21">
        <f t="shared" si="13"/>
        <v>6.7840396381827484E-2</v>
      </c>
      <c r="AS21">
        <f t="shared" si="13"/>
        <v>6.7840396381827484E-2</v>
      </c>
    </row>
    <row r="22" spans="1:45" x14ac:dyDescent="0.25">
      <c r="A22" s="16" t="s">
        <v>71</v>
      </c>
      <c r="B22" s="14">
        <v>0.9</v>
      </c>
      <c r="C22" t="s">
        <v>45</v>
      </c>
      <c r="E22" s="17" t="s">
        <v>67</v>
      </c>
      <c r="F22" s="20">
        <f>$B$4/$B$23/$B$22</f>
        <v>44800</v>
      </c>
      <c r="G22" t="s">
        <v>64</v>
      </c>
      <c r="I22" s="16" t="s">
        <v>63</v>
      </c>
      <c r="J22" t="s">
        <v>64</v>
      </c>
      <c r="M22">
        <f t="shared" ref="M22:AS22" si="14">M8/$B$22/$B$23</f>
        <v>407.04237829046741</v>
      </c>
      <c r="N22">
        <f t="shared" si="14"/>
        <v>393.47429901411851</v>
      </c>
      <c r="O22">
        <f t="shared" si="14"/>
        <v>379.90621973776956</v>
      </c>
      <c r="P22">
        <f t="shared" si="14"/>
        <v>366.33814046142066</v>
      </c>
      <c r="Q22">
        <f t="shared" si="14"/>
        <v>352.77006118507177</v>
      </c>
      <c r="R22">
        <f t="shared" si="14"/>
        <v>339.20198190872281</v>
      </c>
      <c r="S22">
        <f t="shared" si="14"/>
        <v>325.63390263237392</v>
      </c>
      <c r="T22">
        <f t="shared" si="14"/>
        <v>312.06582335602502</v>
      </c>
      <c r="U22">
        <f t="shared" si="14"/>
        <v>298.49774407967612</v>
      </c>
      <c r="V22">
        <f t="shared" si="14"/>
        <v>284.92966480332723</v>
      </c>
      <c r="W22">
        <f t="shared" si="14"/>
        <v>271.36158552697827</v>
      </c>
      <c r="X22">
        <f t="shared" si="14"/>
        <v>257.79350625062938</v>
      </c>
      <c r="Y22">
        <f t="shared" si="14"/>
        <v>244.22542697428042</v>
      </c>
      <c r="Z22">
        <f t="shared" si="14"/>
        <v>230.65734769793153</v>
      </c>
      <c r="AA22">
        <f t="shared" si="14"/>
        <v>217.08926842158263</v>
      </c>
      <c r="AB22">
        <f t="shared" si="14"/>
        <v>203.52118914523371</v>
      </c>
      <c r="AC22">
        <f t="shared" si="14"/>
        <v>189.95310986888478</v>
      </c>
      <c r="AD22">
        <f t="shared" si="14"/>
        <v>176.38503059253588</v>
      </c>
      <c r="AE22">
        <f t="shared" si="14"/>
        <v>162.81695131618696</v>
      </c>
      <c r="AF22">
        <f t="shared" si="14"/>
        <v>149.24887203983806</v>
      </c>
      <c r="AG22">
        <f t="shared" si="14"/>
        <v>135.68079276348914</v>
      </c>
      <c r="AH22">
        <f t="shared" si="14"/>
        <v>122.11271348714021</v>
      </c>
      <c r="AI22">
        <f t="shared" si="14"/>
        <v>108.54463421079132</v>
      </c>
      <c r="AJ22">
        <f t="shared" si="14"/>
        <v>94.97655493444239</v>
      </c>
      <c r="AK22">
        <f t="shared" si="14"/>
        <v>81.408475658093479</v>
      </c>
      <c r="AL22">
        <f t="shared" si="14"/>
        <v>67.840396381744569</v>
      </c>
      <c r="AM22">
        <f t="shared" si="14"/>
        <v>54.272317105395658</v>
      </c>
      <c r="AN22">
        <f t="shared" si="14"/>
        <v>40.70423782904674</v>
      </c>
      <c r="AO22">
        <f t="shared" si="14"/>
        <v>27.136158552697829</v>
      </c>
      <c r="AP22">
        <f t="shared" si="14"/>
        <v>13.568079276348914</v>
      </c>
      <c r="AQ22">
        <f t="shared" si="14"/>
        <v>1.3568079276365497E-2</v>
      </c>
      <c r="AR22">
        <f t="shared" si="14"/>
        <v>1.3568079276365497E-2</v>
      </c>
      <c r="AS22">
        <f t="shared" si="14"/>
        <v>1.3568079276365497E-2</v>
      </c>
    </row>
    <row r="23" spans="1:45" ht="30" x14ac:dyDescent="0.25">
      <c r="A23" s="16" t="s">
        <v>65</v>
      </c>
      <c r="B23" s="13">
        <v>5</v>
      </c>
      <c r="C23" t="s">
        <v>66</v>
      </c>
      <c r="E23" s="16" t="s">
        <v>68</v>
      </c>
      <c r="F23" s="20">
        <f>F22/$B$24</f>
        <v>68.92307692307692</v>
      </c>
      <c r="G23" t="s">
        <v>72</v>
      </c>
      <c r="I23" s="17" t="s">
        <v>104</v>
      </c>
      <c r="J23" t="s">
        <v>64</v>
      </c>
      <c r="K23">
        <f>SUM(M23:BC23)</f>
        <v>44639.02232872539</v>
      </c>
      <c r="M23">
        <f t="shared" ref="M23:AS23" si="15">M22*M4</f>
        <v>236.46526652485761</v>
      </c>
      <c r="N23">
        <f t="shared" si="15"/>
        <v>228.58309097402903</v>
      </c>
      <c r="O23">
        <f t="shared" si="15"/>
        <v>252.22961762651428</v>
      </c>
      <c r="P23">
        <f t="shared" si="15"/>
        <v>304.0267712462458</v>
      </c>
      <c r="Q23">
        <f t="shared" si="15"/>
        <v>380.59647659715154</v>
      </c>
      <c r="R23">
        <f t="shared" si="15"/>
        <v>450.4100314759192</v>
      </c>
      <c r="S23">
        <f t="shared" si="15"/>
        <v>945.86106609943056</v>
      </c>
      <c r="T23">
        <f t="shared" si="15"/>
        <v>1035.9430723946123</v>
      </c>
      <c r="U23">
        <f t="shared" si="15"/>
        <v>1585.4433107952329</v>
      </c>
      <c r="V23">
        <f t="shared" si="15"/>
        <v>2246.4200319861452</v>
      </c>
      <c r="W23">
        <f t="shared" si="15"/>
        <v>2950.1857061672736</v>
      </c>
      <c r="X23">
        <f t="shared" si="15"/>
        <v>3273.3549037512421</v>
      </c>
      <c r="Y23">
        <f t="shared" si="15"/>
        <v>3769.9319634534454</v>
      </c>
      <c r="Z23">
        <f t="shared" si="15"/>
        <v>3617.9185778303245</v>
      </c>
      <c r="AA23">
        <f t="shared" si="15"/>
        <v>3188.9030228495117</v>
      </c>
      <c r="AB23">
        <f t="shared" si="15"/>
        <v>3259.8426028069675</v>
      </c>
      <c r="AC23">
        <f t="shared" si="15"/>
        <v>2679.939687281721</v>
      </c>
      <c r="AD23">
        <f t="shared" si="15"/>
        <v>2956.9418566394106</v>
      </c>
      <c r="AE23">
        <f t="shared" si="15"/>
        <v>2283.5788595829131</v>
      </c>
      <c r="AF23">
        <f t="shared" si="15"/>
        <v>1820.7825522414046</v>
      </c>
      <c r="AG23">
        <f t="shared" si="15"/>
        <v>1632.7363641002066</v>
      </c>
      <c r="AH23">
        <f t="shared" si="15"/>
        <v>1540.4023076476437</v>
      </c>
      <c r="AI23">
        <f t="shared" si="15"/>
        <v>1261.1480881325742</v>
      </c>
      <c r="AJ23">
        <f t="shared" si="15"/>
        <v>977.38976830274498</v>
      </c>
      <c r="AK23">
        <f t="shared" si="15"/>
        <v>797.22575571237655</v>
      </c>
      <c r="AL23">
        <f t="shared" si="15"/>
        <v>501.08116001696044</v>
      </c>
      <c r="AM23">
        <f t="shared" si="15"/>
        <v>292.76652045934662</v>
      </c>
      <c r="AN23">
        <f t="shared" si="15"/>
        <v>108.09840755422042</v>
      </c>
      <c r="AO23">
        <f t="shared" si="15"/>
        <v>47.293053304971536</v>
      </c>
      <c r="AP23">
        <f t="shared" si="15"/>
        <v>13.512300944277586</v>
      </c>
      <c r="AQ23">
        <f t="shared" si="15"/>
        <v>5.630125393455877E-3</v>
      </c>
      <c r="AR23">
        <f t="shared" si="15"/>
        <v>2.2520501573823509E-3</v>
      </c>
      <c r="AS23">
        <f t="shared" si="15"/>
        <v>2.2520501573823509E-3</v>
      </c>
    </row>
    <row r="24" spans="1:45" x14ac:dyDescent="0.25">
      <c r="A24" s="16" t="s">
        <v>69</v>
      </c>
      <c r="B24" s="13">
        <v>650</v>
      </c>
      <c r="C24" t="s">
        <v>70</v>
      </c>
    </row>
    <row r="25" spans="1:45" x14ac:dyDescent="0.25">
      <c r="M25">
        <v>-10</v>
      </c>
      <c r="N25">
        <v>-9</v>
      </c>
      <c r="O25">
        <v>-8</v>
      </c>
      <c r="P25">
        <v>-7</v>
      </c>
      <c r="Q25">
        <v>-6</v>
      </c>
      <c r="R25">
        <v>-5</v>
      </c>
      <c r="S25">
        <v>-4</v>
      </c>
      <c r="T25">
        <v>-3</v>
      </c>
      <c r="U25">
        <v>-2</v>
      </c>
      <c r="V25">
        <v>-1</v>
      </c>
      <c r="W25">
        <v>0</v>
      </c>
      <c r="X25">
        <v>1</v>
      </c>
      <c r="Y25">
        <v>2</v>
      </c>
      <c r="Z25">
        <v>3</v>
      </c>
      <c r="AA25">
        <v>4</v>
      </c>
      <c r="AB25">
        <v>5</v>
      </c>
      <c r="AC25">
        <v>6</v>
      </c>
      <c r="AD25">
        <v>7</v>
      </c>
      <c r="AE25">
        <v>8</v>
      </c>
      <c r="AF25">
        <v>9</v>
      </c>
      <c r="AG25">
        <v>10</v>
      </c>
      <c r="AH25">
        <v>11</v>
      </c>
      <c r="AI25">
        <v>12</v>
      </c>
      <c r="AJ25">
        <v>13</v>
      </c>
      <c r="AK25">
        <v>14</v>
      </c>
      <c r="AL25">
        <v>15</v>
      </c>
      <c r="AM25">
        <v>16</v>
      </c>
      <c r="AN25">
        <v>17</v>
      </c>
      <c r="AO25">
        <v>18</v>
      </c>
      <c r="AP25">
        <v>19</v>
      </c>
      <c r="AQ25">
        <v>20</v>
      </c>
      <c r="AR25">
        <v>21</v>
      </c>
      <c r="AS25">
        <v>22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C1993-D5BA-41C4-85FD-AC07D7D4AAF0}">
  <dimension ref="A1:BC39"/>
  <sheetViews>
    <sheetView zoomScale="55" zoomScaleNormal="55" workbookViewId="0">
      <selection activeCell="B14" sqref="B14"/>
    </sheetView>
  </sheetViews>
  <sheetFormatPr baseColWidth="10" defaultColWidth="9.140625" defaultRowHeight="15" x14ac:dyDescent="0.25"/>
  <cols>
    <col min="1" max="1" width="34.42578125" customWidth="1"/>
    <col min="2" max="2" width="12.28515625" customWidth="1"/>
    <col min="3" max="3" width="17.85546875" customWidth="1"/>
    <col min="4" max="4" width="26" customWidth="1"/>
    <col min="5" max="5" width="27.42578125" customWidth="1"/>
    <col min="6" max="6" width="11.7109375" customWidth="1"/>
    <col min="7" max="7" width="13.7109375" customWidth="1"/>
    <col min="9" max="9" width="43" customWidth="1"/>
    <col min="10" max="10" width="9.28515625" customWidth="1"/>
    <col min="11" max="11" width="21.140625" customWidth="1"/>
    <col min="13" max="55" width="15.7109375" customWidth="1"/>
  </cols>
  <sheetData>
    <row r="1" spans="1:55" ht="18.75" x14ac:dyDescent="0.3">
      <c r="A1" s="4" t="s">
        <v>39</v>
      </c>
      <c r="B1" s="4" t="s">
        <v>42</v>
      </c>
      <c r="C1" s="4" t="s">
        <v>34</v>
      </c>
      <c r="D1" s="4"/>
      <c r="E1" s="4" t="s">
        <v>58</v>
      </c>
      <c r="F1" s="4" t="s">
        <v>42</v>
      </c>
      <c r="G1" s="4" t="s">
        <v>34</v>
      </c>
      <c r="H1" s="4"/>
      <c r="I1" s="4" t="s">
        <v>33</v>
      </c>
      <c r="J1" s="4" t="s">
        <v>34</v>
      </c>
      <c r="K1" s="4" t="s">
        <v>35</v>
      </c>
    </row>
    <row r="2" spans="1:55" x14ac:dyDescent="0.25">
      <c r="A2" t="s">
        <v>41</v>
      </c>
      <c r="B2">
        <v>242.25</v>
      </c>
      <c r="C2" t="s">
        <v>44</v>
      </c>
      <c r="I2" t="s">
        <v>36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13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t="s">
        <v>31</v>
      </c>
      <c r="AS2" t="s">
        <v>32</v>
      </c>
    </row>
    <row r="3" spans="1:55" x14ac:dyDescent="0.25">
      <c r="A3" t="s">
        <v>57</v>
      </c>
      <c r="B3">
        <v>6.37</v>
      </c>
      <c r="C3" t="s">
        <v>43</v>
      </c>
      <c r="I3" t="s">
        <v>37</v>
      </c>
      <c r="J3" t="s">
        <v>45</v>
      </c>
      <c r="K3" s="3">
        <f>SUM(M3:BC3)</f>
        <v>0.999999999999999</v>
      </c>
      <c r="M3" s="2">
        <v>2.3980815347721799E-3</v>
      </c>
      <c r="N3" s="2">
        <v>2.3980815347721799E-3</v>
      </c>
      <c r="O3" s="2">
        <v>2.7406646111682001E-3</v>
      </c>
      <c r="P3" s="2">
        <v>3.42583076396026E-3</v>
      </c>
      <c r="Q3" s="2">
        <v>4.4535799931483301E-3</v>
      </c>
      <c r="R3" s="2">
        <v>5.4813292223364098E-3</v>
      </c>
      <c r="S3" s="2">
        <v>1.1990407673860899E-2</v>
      </c>
      <c r="T3" s="2">
        <v>1.3703323055841E-2</v>
      </c>
      <c r="U3" s="2">
        <v>2.1925316889345601E-2</v>
      </c>
      <c r="V3" s="2">
        <v>3.2545392257622402E-2</v>
      </c>
      <c r="W3" s="2">
        <v>4.4878383007879399E-2</v>
      </c>
      <c r="X3" s="2">
        <v>5.2415210688591903E-2</v>
      </c>
      <c r="Y3" s="2">
        <v>6.3720452209660799E-2</v>
      </c>
      <c r="Z3" s="2">
        <v>6.4748201438848907E-2</v>
      </c>
      <c r="AA3" s="2">
        <v>6.0637204522096602E-2</v>
      </c>
      <c r="AB3" s="2">
        <v>6.6118533744432995E-2</v>
      </c>
      <c r="AC3" s="2">
        <v>5.82391229873244E-2</v>
      </c>
      <c r="AD3" s="2">
        <v>6.9201781431997206E-2</v>
      </c>
      <c r="AE3" s="2">
        <v>5.7896539910928399E-2</v>
      </c>
      <c r="AF3" s="2">
        <v>5.0359712230215799E-2</v>
      </c>
      <c r="AG3" s="2">
        <v>4.9674546077423699E-2</v>
      </c>
      <c r="AH3" s="2">
        <v>5.2072627612195901E-2</v>
      </c>
      <c r="AI3" s="2">
        <v>4.7961630695443597E-2</v>
      </c>
      <c r="AJ3" s="2">
        <v>4.2480301473107197E-2</v>
      </c>
      <c r="AK3" s="2">
        <v>4.0424803014731003E-2</v>
      </c>
      <c r="AL3" s="2">
        <v>3.0489893799246302E-2</v>
      </c>
      <c r="AM3" s="2">
        <v>2.2267899965741599E-2</v>
      </c>
      <c r="AN3" s="2">
        <v>1.09626584446728E-2</v>
      </c>
      <c r="AO3" s="2">
        <v>7.1942446043165402E-3</v>
      </c>
      <c r="AP3" s="2">
        <v>4.1109969167523099E-3</v>
      </c>
      <c r="AQ3" s="2">
        <v>1.71291538198013E-3</v>
      </c>
      <c r="AR3" s="2">
        <v>6.8516615279205198E-4</v>
      </c>
      <c r="AS3" s="2">
        <v>6.8516615279205198E-4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</row>
    <row r="4" spans="1:55" x14ac:dyDescent="0.25">
      <c r="A4" t="s">
        <v>49</v>
      </c>
      <c r="B4">
        <v>201600</v>
      </c>
      <c r="C4" t="s">
        <v>51</v>
      </c>
      <c r="I4" t="s">
        <v>38</v>
      </c>
      <c r="J4" t="s">
        <v>44</v>
      </c>
      <c r="K4">
        <f>SUM(M4:BC4)</f>
        <v>242.2499999999998</v>
      </c>
      <c r="M4">
        <f t="shared" ref="M4:AS4" si="0">M3*$B$2</f>
        <v>0.58093525179856054</v>
      </c>
      <c r="N4">
        <f t="shared" si="0"/>
        <v>0.58093525179856054</v>
      </c>
      <c r="O4">
        <f t="shared" si="0"/>
        <v>0.66392600205549646</v>
      </c>
      <c r="P4">
        <f t="shared" si="0"/>
        <v>0.82990750256937296</v>
      </c>
      <c r="Q4">
        <f t="shared" si="0"/>
        <v>1.078879753340183</v>
      </c>
      <c r="R4">
        <f t="shared" si="0"/>
        <v>1.3278520041109954</v>
      </c>
      <c r="S4">
        <f t="shared" si="0"/>
        <v>2.904676258992803</v>
      </c>
      <c r="T4">
        <f t="shared" si="0"/>
        <v>3.3196300102774821</v>
      </c>
      <c r="U4">
        <f t="shared" si="0"/>
        <v>5.3114080164439716</v>
      </c>
      <c r="V4">
        <f t="shared" si="0"/>
        <v>7.8841212744090265</v>
      </c>
      <c r="W4">
        <f t="shared" si="0"/>
        <v>10.871788283658784</v>
      </c>
      <c r="X4">
        <f t="shared" si="0"/>
        <v>12.697584789311389</v>
      </c>
      <c r="Y4">
        <f t="shared" si="0"/>
        <v>15.436279547790329</v>
      </c>
      <c r="Z4">
        <f t="shared" si="0"/>
        <v>15.685251798561147</v>
      </c>
      <c r="AA4">
        <f t="shared" si="0"/>
        <v>14.689362795477901</v>
      </c>
      <c r="AB4">
        <f t="shared" si="0"/>
        <v>16.017214799588892</v>
      </c>
      <c r="AC4">
        <f t="shared" si="0"/>
        <v>14.108427543679335</v>
      </c>
      <c r="AD4">
        <f t="shared" si="0"/>
        <v>16.764131551901322</v>
      </c>
      <c r="AE4">
        <f t="shared" si="0"/>
        <v>14.025436793422404</v>
      </c>
      <c r="AF4">
        <f t="shared" si="0"/>
        <v>12.199640287769776</v>
      </c>
      <c r="AG4">
        <f t="shared" si="0"/>
        <v>12.033658787255892</v>
      </c>
      <c r="AH4">
        <f t="shared" si="0"/>
        <v>12.614594039054458</v>
      </c>
      <c r="AI4">
        <f t="shared" si="0"/>
        <v>11.618705035971212</v>
      </c>
      <c r="AJ4">
        <f t="shared" si="0"/>
        <v>10.290853031860218</v>
      </c>
      <c r="AK4">
        <f t="shared" si="0"/>
        <v>9.7929085303185861</v>
      </c>
      <c r="AL4">
        <f t="shared" si="0"/>
        <v>7.3861767728674161</v>
      </c>
      <c r="AM4">
        <f t="shared" si="0"/>
        <v>5.3943987667009026</v>
      </c>
      <c r="AN4">
        <f t="shared" si="0"/>
        <v>2.6557040082219858</v>
      </c>
      <c r="AO4">
        <f t="shared" si="0"/>
        <v>1.7428057553956819</v>
      </c>
      <c r="AP4">
        <f t="shared" si="0"/>
        <v>0.99588900308324713</v>
      </c>
      <c r="AQ4">
        <f t="shared" si="0"/>
        <v>0.41495375128468648</v>
      </c>
      <c r="AR4">
        <f t="shared" si="0"/>
        <v>0.16598150051387459</v>
      </c>
      <c r="AS4">
        <f t="shared" si="0"/>
        <v>0.16598150051387459</v>
      </c>
    </row>
    <row r="5" spans="1:55" ht="31.5" customHeight="1" x14ac:dyDescent="0.25">
      <c r="A5" t="s">
        <v>54</v>
      </c>
      <c r="B5">
        <v>20</v>
      </c>
      <c r="C5" t="s">
        <v>43</v>
      </c>
      <c r="E5" s="5" t="s">
        <v>59</v>
      </c>
      <c r="F5" s="6">
        <f>B4/B2/(20-B3)</f>
        <v>61.056356743570113</v>
      </c>
      <c r="G5" t="s">
        <v>60</v>
      </c>
      <c r="I5" s="5" t="s">
        <v>62</v>
      </c>
      <c r="J5" t="s">
        <v>43</v>
      </c>
      <c r="M5">
        <v>-10</v>
      </c>
      <c r="N5">
        <v>-9</v>
      </c>
      <c r="O5">
        <v>-8</v>
      </c>
      <c r="P5">
        <v>-7</v>
      </c>
      <c r="Q5">
        <v>-6</v>
      </c>
      <c r="R5">
        <v>-5</v>
      </c>
      <c r="S5">
        <v>-4</v>
      </c>
      <c r="T5">
        <v>-3</v>
      </c>
      <c r="U5">
        <v>-2</v>
      </c>
      <c r="V5">
        <v>-1</v>
      </c>
      <c r="W5">
        <v>0</v>
      </c>
      <c r="X5">
        <v>1</v>
      </c>
      <c r="Y5">
        <v>2</v>
      </c>
      <c r="Z5">
        <v>3</v>
      </c>
      <c r="AA5">
        <v>4</v>
      </c>
      <c r="AB5">
        <v>5</v>
      </c>
      <c r="AC5">
        <v>6</v>
      </c>
      <c r="AD5">
        <v>7</v>
      </c>
      <c r="AE5">
        <v>8</v>
      </c>
      <c r="AF5">
        <v>9</v>
      </c>
      <c r="AG5">
        <v>10</v>
      </c>
      <c r="AH5">
        <v>11</v>
      </c>
      <c r="AI5">
        <v>12</v>
      </c>
      <c r="AJ5">
        <v>13</v>
      </c>
      <c r="AK5">
        <v>14</v>
      </c>
      <c r="AL5">
        <v>15</v>
      </c>
      <c r="AM5">
        <v>16</v>
      </c>
      <c r="AN5">
        <v>17</v>
      </c>
      <c r="AO5">
        <v>18</v>
      </c>
      <c r="AP5">
        <v>19</v>
      </c>
      <c r="AQ5">
        <v>19.9999</v>
      </c>
      <c r="AR5">
        <v>19.9999</v>
      </c>
      <c r="AS5">
        <v>19.9999</v>
      </c>
    </row>
    <row r="6" spans="1:55" ht="30" x14ac:dyDescent="0.25">
      <c r="A6" s="5" t="s">
        <v>55</v>
      </c>
      <c r="B6">
        <f>B5</f>
        <v>20</v>
      </c>
      <c r="C6" t="s">
        <v>43</v>
      </c>
      <c r="I6" t="s">
        <v>40</v>
      </c>
      <c r="J6" t="s">
        <v>53</v>
      </c>
      <c r="M6">
        <f>M5+273.15</f>
        <v>263.14999999999998</v>
      </c>
      <c r="N6">
        <f t="shared" ref="N6:AS6" si="1">N5+273.15</f>
        <v>264.14999999999998</v>
      </c>
      <c r="O6">
        <f t="shared" si="1"/>
        <v>265.14999999999998</v>
      </c>
      <c r="P6">
        <f t="shared" si="1"/>
        <v>266.14999999999998</v>
      </c>
      <c r="Q6">
        <f t="shared" si="1"/>
        <v>267.14999999999998</v>
      </c>
      <c r="R6">
        <f t="shared" si="1"/>
        <v>268.14999999999998</v>
      </c>
      <c r="S6">
        <f t="shared" si="1"/>
        <v>269.14999999999998</v>
      </c>
      <c r="T6">
        <f t="shared" si="1"/>
        <v>270.14999999999998</v>
      </c>
      <c r="U6">
        <f t="shared" si="1"/>
        <v>271.14999999999998</v>
      </c>
      <c r="V6">
        <f t="shared" si="1"/>
        <v>272.14999999999998</v>
      </c>
      <c r="W6">
        <f t="shared" si="1"/>
        <v>273.14999999999998</v>
      </c>
      <c r="X6">
        <f t="shared" si="1"/>
        <v>274.14999999999998</v>
      </c>
      <c r="Y6">
        <f t="shared" si="1"/>
        <v>275.14999999999998</v>
      </c>
      <c r="Z6">
        <f t="shared" si="1"/>
        <v>276.14999999999998</v>
      </c>
      <c r="AA6">
        <f t="shared" si="1"/>
        <v>277.14999999999998</v>
      </c>
      <c r="AB6">
        <f t="shared" si="1"/>
        <v>278.14999999999998</v>
      </c>
      <c r="AC6">
        <f t="shared" si="1"/>
        <v>279.14999999999998</v>
      </c>
      <c r="AD6">
        <f t="shared" si="1"/>
        <v>280.14999999999998</v>
      </c>
      <c r="AE6">
        <f t="shared" si="1"/>
        <v>281.14999999999998</v>
      </c>
      <c r="AF6">
        <f t="shared" si="1"/>
        <v>282.14999999999998</v>
      </c>
      <c r="AG6">
        <f t="shared" si="1"/>
        <v>283.14999999999998</v>
      </c>
      <c r="AH6">
        <f t="shared" si="1"/>
        <v>284.14999999999998</v>
      </c>
      <c r="AI6">
        <f t="shared" si="1"/>
        <v>285.14999999999998</v>
      </c>
      <c r="AJ6">
        <f t="shared" si="1"/>
        <v>286.14999999999998</v>
      </c>
      <c r="AK6">
        <f t="shared" si="1"/>
        <v>287.14999999999998</v>
      </c>
      <c r="AL6">
        <f t="shared" si="1"/>
        <v>288.14999999999998</v>
      </c>
      <c r="AM6">
        <f t="shared" si="1"/>
        <v>289.14999999999998</v>
      </c>
      <c r="AN6">
        <f t="shared" si="1"/>
        <v>290.14999999999998</v>
      </c>
      <c r="AO6">
        <f t="shared" si="1"/>
        <v>291.14999999999998</v>
      </c>
      <c r="AP6">
        <f t="shared" si="1"/>
        <v>292.14999999999998</v>
      </c>
      <c r="AQ6">
        <f t="shared" si="1"/>
        <v>293.1499</v>
      </c>
      <c r="AR6">
        <f t="shared" si="1"/>
        <v>293.1499</v>
      </c>
      <c r="AS6">
        <f t="shared" si="1"/>
        <v>293.1499</v>
      </c>
    </row>
    <row r="7" spans="1:55" x14ac:dyDescent="0.25">
      <c r="A7" t="s">
        <v>56</v>
      </c>
      <c r="B7">
        <v>1.65</v>
      </c>
    </row>
    <row r="8" spans="1:55" x14ac:dyDescent="0.25">
      <c r="I8" t="s">
        <v>47</v>
      </c>
      <c r="J8" t="s">
        <v>48</v>
      </c>
      <c r="M8">
        <f>(20-M5)*$F$5</f>
        <v>1831.6907023071035</v>
      </c>
      <c r="N8">
        <f t="shared" ref="N8:AS8" si="2">(20-N5)*$F$5</f>
        <v>1770.6343455635333</v>
      </c>
      <c r="O8">
        <f t="shared" si="2"/>
        <v>1709.5779888199631</v>
      </c>
      <c r="P8">
        <f t="shared" si="2"/>
        <v>1648.521632076393</v>
      </c>
      <c r="Q8">
        <f t="shared" si="2"/>
        <v>1587.465275332823</v>
      </c>
      <c r="R8">
        <f t="shared" si="2"/>
        <v>1526.4089185892528</v>
      </c>
      <c r="S8">
        <f t="shared" si="2"/>
        <v>1465.3525618456827</v>
      </c>
      <c r="T8">
        <f t="shared" si="2"/>
        <v>1404.2962051021127</v>
      </c>
      <c r="U8">
        <f t="shared" si="2"/>
        <v>1343.2398483585425</v>
      </c>
      <c r="V8">
        <f t="shared" si="2"/>
        <v>1282.1834916149724</v>
      </c>
      <c r="W8">
        <f t="shared" si="2"/>
        <v>1221.1271348714022</v>
      </c>
      <c r="X8">
        <f t="shared" si="2"/>
        <v>1160.0707781278322</v>
      </c>
      <c r="Y8">
        <f t="shared" si="2"/>
        <v>1099.0144213842621</v>
      </c>
      <c r="Z8">
        <f t="shared" si="2"/>
        <v>1037.9580646406919</v>
      </c>
      <c r="AA8">
        <f t="shared" si="2"/>
        <v>976.90170789712181</v>
      </c>
      <c r="AB8">
        <f t="shared" si="2"/>
        <v>915.84535115355175</v>
      </c>
      <c r="AC8">
        <f t="shared" si="2"/>
        <v>854.78899440998157</v>
      </c>
      <c r="AD8">
        <f t="shared" si="2"/>
        <v>793.73263766641151</v>
      </c>
      <c r="AE8">
        <f t="shared" si="2"/>
        <v>732.67628092284133</v>
      </c>
      <c r="AF8">
        <f t="shared" si="2"/>
        <v>671.61992417927127</v>
      </c>
      <c r="AG8">
        <f t="shared" si="2"/>
        <v>610.56356743570109</v>
      </c>
      <c r="AH8">
        <f t="shared" si="2"/>
        <v>549.50721069213103</v>
      </c>
      <c r="AI8">
        <f t="shared" si="2"/>
        <v>488.4508539485609</v>
      </c>
      <c r="AJ8">
        <f t="shared" si="2"/>
        <v>427.39449720499078</v>
      </c>
      <c r="AK8">
        <f t="shared" si="2"/>
        <v>366.33814046142066</v>
      </c>
      <c r="AL8">
        <f t="shared" si="2"/>
        <v>305.28178371785054</v>
      </c>
      <c r="AM8">
        <f t="shared" si="2"/>
        <v>244.22542697428045</v>
      </c>
      <c r="AN8">
        <f t="shared" si="2"/>
        <v>183.16907023071033</v>
      </c>
      <c r="AO8">
        <f t="shared" si="2"/>
        <v>122.11271348714023</v>
      </c>
      <c r="AP8">
        <f t="shared" si="2"/>
        <v>61.056356743570113</v>
      </c>
      <c r="AQ8">
        <f t="shared" si="2"/>
        <v>6.105635674342782E-3</v>
      </c>
      <c r="AR8">
        <f t="shared" si="2"/>
        <v>6.105635674342782E-3</v>
      </c>
      <c r="AS8">
        <f t="shared" si="2"/>
        <v>6.105635674342782E-3</v>
      </c>
    </row>
    <row r="9" spans="1:55" ht="30" customHeight="1" x14ac:dyDescent="0.25">
      <c r="I9" s="5" t="s">
        <v>61</v>
      </c>
      <c r="J9" t="s">
        <v>50</v>
      </c>
      <c r="K9">
        <f t="shared" ref="K9" si="3">SUM(M9:BC9)</f>
        <v>200875.55943565007</v>
      </c>
      <c r="M9">
        <f>M8*M4</f>
        <v>1064.0936993618593</v>
      </c>
      <c r="N9">
        <f t="shared" ref="N9:AS9" si="4">N8*N4</f>
        <v>1028.6239093831307</v>
      </c>
      <c r="O9">
        <f t="shared" si="4"/>
        <v>1135.0332793193143</v>
      </c>
      <c r="P9">
        <f t="shared" si="4"/>
        <v>1368.120470608106</v>
      </c>
      <c r="Q9">
        <f t="shared" si="4"/>
        <v>1712.6841446871817</v>
      </c>
      <c r="R9">
        <f t="shared" si="4"/>
        <v>2026.8451416416365</v>
      </c>
      <c r="S9">
        <f t="shared" si="4"/>
        <v>4256.3747974474372</v>
      </c>
      <c r="T9">
        <f t="shared" si="4"/>
        <v>4661.7438257757558</v>
      </c>
      <c r="U9">
        <f t="shared" si="4"/>
        <v>7134.4948985785477</v>
      </c>
      <c r="V9">
        <f t="shared" si="4"/>
        <v>10108.890143937651</v>
      </c>
      <c r="W9">
        <f t="shared" si="4"/>
        <v>13275.83567775273</v>
      </c>
      <c r="X9">
        <f t="shared" si="4"/>
        <v>14730.097066880589</v>
      </c>
      <c r="Y9">
        <f t="shared" si="4"/>
        <v>16964.693835540507</v>
      </c>
      <c r="Z9">
        <f t="shared" si="4"/>
        <v>16280.633600236459</v>
      </c>
      <c r="AA9">
        <f t="shared" si="4"/>
        <v>14350.063602822802</v>
      </c>
      <c r="AB9">
        <f t="shared" si="4"/>
        <v>14669.291712631355</v>
      </c>
      <c r="AC9">
        <f t="shared" si="4"/>
        <v>12059.728592767746</v>
      </c>
      <c r="AD9">
        <f t="shared" si="4"/>
        <v>13306.238354877349</v>
      </c>
      <c r="AE9">
        <f t="shared" si="4"/>
        <v>10276.104868123108</v>
      </c>
      <c r="AF9">
        <f t="shared" si="4"/>
        <v>8193.5214850863213</v>
      </c>
      <c r="AG9">
        <f t="shared" si="4"/>
        <v>7347.3136384509298</v>
      </c>
      <c r="AH9">
        <f t="shared" si="4"/>
        <v>6931.810384414398</v>
      </c>
      <c r="AI9">
        <f t="shared" si="4"/>
        <v>5675.1663965965836</v>
      </c>
      <c r="AJ9">
        <f t="shared" si="4"/>
        <v>4398.2539573623526</v>
      </c>
      <c r="AK9">
        <f t="shared" si="4"/>
        <v>3587.515900705695</v>
      </c>
      <c r="AL9">
        <f t="shared" si="4"/>
        <v>2254.8652200763217</v>
      </c>
      <c r="AM9">
        <f t="shared" si="4"/>
        <v>1317.4493420670599</v>
      </c>
      <c r="AN9">
        <f t="shared" si="4"/>
        <v>486.44283399399183</v>
      </c>
      <c r="AO9">
        <f t="shared" si="4"/>
        <v>212.81873987237191</v>
      </c>
      <c r="AP9">
        <f t="shared" si="4"/>
        <v>60.805354249249135</v>
      </c>
      <c r="AQ9">
        <f t="shared" si="4"/>
        <v>2.5335564270461438E-3</v>
      </c>
      <c r="AR9">
        <f t="shared" si="4"/>
        <v>1.0134225708184575E-3</v>
      </c>
      <c r="AS9">
        <f t="shared" si="4"/>
        <v>1.0134225708184575E-3</v>
      </c>
    </row>
    <row r="10" spans="1:55" x14ac:dyDescent="0.25">
      <c r="I10" t="s">
        <v>52</v>
      </c>
      <c r="J10" t="s">
        <v>43</v>
      </c>
      <c r="M10">
        <f>20+$B$7*2.125*(20-M5)^0.78</f>
        <v>69.773417082366706</v>
      </c>
      <c r="N10">
        <f t="shared" ref="N10:AS10" si="5">20+$B$7*2.125*(20-N5)^0.78</f>
        <v>68.47449763434517</v>
      </c>
      <c r="O10">
        <f t="shared" si="5"/>
        <v>67.165684657944126</v>
      </c>
      <c r="P10">
        <f t="shared" si="5"/>
        <v>65.846545198315411</v>
      </c>
      <c r="Q10">
        <f t="shared" si="5"/>
        <v>64.516610533756904</v>
      </c>
      <c r="R10">
        <f t="shared" si="5"/>
        <v>63.17537172338244</v>
      </c>
      <c r="S10">
        <f t="shared" si="5"/>
        <v>61.82227439904284</v>
      </c>
      <c r="T10">
        <f t="shared" si="5"/>
        <v>60.456712636124252</v>
      </c>
      <c r="U10">
        <f t="shared" si="5"/>
        <v>59.078021692830504</v>
      </c>
      <c r="V10">
        <f t="shared" si="5"/>
        <v>57.685469347653978</v>
      </c>
      <c r="W10">
        <f t="shared" si="5"/>
        <v>56.278245484087535</v>
      </c>
      <c r="X10">
        <f t="shared" si="5"/>
        <v>54.855449461619941</v>
      </c>
      <c r="Y10">
        <f t="shared" si="5"/>
        <v>53.416074659881765</v>
      </c>
      <c r="Z10">
        <f t="shared" si="5"/>
        <v>51.958989369017715</v>
      </c>
      <c r="AA10">
        <f t="shared" si="5"/>
        <v>50.482912893855925</v>
      </c>
      <c r="AB10">
        <f t="shared" si="5"/>
        <v>48.98638529456764</v>
      </c>
      <c r="AC10">
        <f t="shared" si="5"/>
        <v>47.467728524943752</v>
      </c>
      <c r="AD10">
        <f t="shared" si="5"/>
        <v>45.924995722201054</v>
      </c>
      <c r="AE10">
        <f t="shared" si="5"/>
        <v>44.355903827532515</v>
      </c>
      <c r="AF10">
        <f t="shared" si="5"/>
        <v>42.75774217919129</v>
      </c>
      <c r="AG10">
        <f t="shared" si="5"/>
        <v>41.127245486732178</v>
      </c>
      <c r="AH10">
        <f t="shared" si="5"/>
        <v>39.460412242150895</v>
      </c>
      <c r="AI10">
        <f t="shared" si="5"/>
        <v>37.752236230433169</v>
      </c>
      <c r="AJ10">
        <f t="shared" si="5"/>
        <v>35.996292978499824</v>
      </c>
      <c r="AK10">
        <f t="shared" si="5"/>
        <v>34.184069608361369</v>
      </c>
      <c r="AL10">
        <f t="shared" si="5"/>
        <v>32.303806203980528</v>
      </c>
      <c r="AM10">
        <f t="shared" si="5"/>
        <v>30.338312886253846</v>
      </c>
      <c r="AN10">
        <f t="shared" si="5"/>
        <v>28.260331132832484</v>
      </c>
      <c r="AO10">
        <f t="shared" si="5"/>
        <v>26.020690123019747</v>
      </c>
      <c r="AP10">
        <f t="shared" si="5"/>
        <v>23.506250000000001</v>
      </c>
      <c r="AQ10">
        <f>20+$B$7*2.125*(20-AQ5)^0.78</f>
        <v>20.002659762622443</v>
      </c>
      <c r="AR10">
        <f t="shared" si="5"/>
        <v>20.002659762622443</v>
      </c>
      <c r="AS10">
        <f t="shared" si="5"/>
        <v>20.002659762622443</v>
      </c>
    </row>
    <row r="11" spans="1:55" x14ac:dyDescent="0.25">
      <c r="I11" t="s">
        <v>76</v>
      </c>
      <c r="J11" t="s">
        <v>53</v>
      </c>
      <c r="M11">
        <f>M10+273.15</f>
        <v>342.92341708236665</v>
      </c>
      <c r="N11">
        <f t="shared" ref="N11:AS11" si="6">N10+273.15</f>
        <v>341.62449763434518</v>
      </c>
      <c r="O11">
        <f t="shared" si="6"/>
        <v>340.31568465794408</v>
      </c>
      <c r="P11">
        <f t="shared" si="6"/>
        <v>338.9965451983154</v>
      </c>
      <c r="Q11">
        <f t="shared" si="6"/>
        <v>337.66661053375685</v>
      </c>
      <c r="R11">
        <f t="shared" si="6"/>
        <v>336.32537172338243</v>
      </c>
      <c r="S11">
        <f t="shared" si="6"/>
        <v>334.97227439904282</v>
      </c>
      <c r="T11">
        <f t="shared" si="6"/>
        <v>333.60671263612426</v>
      </c>
      <c r="U11">
        <f t="shared" si="6"/>
        <v>332.22802169283045</v>
      </c>
      <c r="V11">
        <f t="shared" si="6"/>
        <v>330.83546934765394</v>
      </c>
      <c r="W11">
        <f t="shared" si="6"/>
        <v>329.42824548408748</v>
      </c>
      <c r="X11">
        <f t="shared" si="6"/>
        <v>328.00544946161995</v>
      </c>
      <c r="Y11">
        <f t="shared" si="6"/>
        <v>326.56607465988174</v>
      </c>
      <c r="Z11">
        <f t="shared" si="6"/>
        <v>325.10898936901771</v>
      </c>
      <c r="AA11">
        <f t="shared" si="6"/>
        <v>323.63291289385592</v>
      </c>
      <c r="AB11">
        <f t="shared" si="6"/>
        <v>322.13638529456762</v>
      </c>
      <c r="AC11">
        <f t="shared" si="6"/>
        <v>320.61772852494374</v>
      </c>
      <c r="AD11">
        <f t="shared" si="6"/>
        <v>319.07499572220104</v>
      </c>
      <c r="AE11">
        <f t="shared" si="6"/>
        <v>317.50590382753251</v>
      </c>
      <c r="AF11">
        <f t="shared" si="6"/>
        <v>315.90774217919125</v>
      </c>
      <c r="AG11">
        <f t="shared" si="6"/>
        <v>314.27724548673217</v>
      </c>
      <c r="AH11">
        <f t="shared" si="6"/>
        <v>312.61041224215086</v>
      </c>
      <c r="AI11">
        <f t="shared" si="6"/>
        <v>310.90223623043312</v>
      </c>
      <c r="AJ11">
        <f t="shared" si="6"/>
        <v>309.14629297849979</v>
      </c>
      <c r="AK11">
        <f t="shared" si="6"/>
        <v>307.33406960836135</v>
      </c>
      <c r="AL11">
        <f t="shared" si="6"/>
        <v>305.45380620398049</v>
      </c>
      <c r="AM11">
        <f t="shared" si="6"/>
        <v>303.48831288625382</v>
      </c>
      <c r="AN11">
        <f t="shared" si="6"/>
        <v>301.41033113283248</v>
      </c>
      <c r="AO11">
        <f t="shared" si="6"/>
        <v>299.17069012301971</v>
      </c>
      <c r="AP11">
        <f t="shared" si="6"/>
        <v>296.65625</v>
      </c>
      <c r="AQ11">
        <f t="shared" si="6"/>
        <v>293.15265976262242</v>
      </c>
      <c r="AR11">
        <f t="shared" si="6"/>
        <v>293.15265976262242</v>
      </c>
      <c r="AS11">
        <f t="shared" si="6"/>
        <v>293.15265976262242</v>
      </c>
    </row>
    <row r="13" spans="1:55" ht="30" x14ac:dyDescent="0.25">
      <c r="A13" t="s">
        <v>73</v>
      </c>
      <c r="B13">
        <v>0</v>
      </c>
      <c r="C13" t="s">
        <v>43</v>
      </c>
      <c r="E13" s="5" t="s">
        <v>74</v>
      </c>
      <c r="F13">
        <f>B13+273.15</f>
        <v>273.14999999999998</v>
      </c>
      <c r="G13" t="s">
        <v>53</v>
      </c>
      <c r="I13" t="s">
        <v>46</v>
      </c>
      <c r="M13" s="6">
        <f>M$11/(M$11-$F$13)*$B$14</f>
        <v>2.5557036524716259</v>
      </c>
      <c r="N13" s="6">
        <f t="shared" ref="N13:AS13" si="7">N$11/(N$11-$F$13)*$B$14</f>
        <v>2.5943197089007497</v>
      </c>
      <c r="O13" s="6">
        <f t="shared" si="7"/>
        <v>2.6347405959361465</v>
      </c>
      <c r="P13" s="6">
        <f t="shared" si="7"/>
        <v>2.677106338262889</v>
      </c>
      <c r="Q13" s="6">
        <f t="shared" si="7"/>
        <v>2.7215725690623778</v>
      </c>
      <c r="R13" s="6">
        <f t="shared" si="7"/>
        <v>2.7683128492210978</v>
      </c>
      <c r="S13" s="6">
        <f t="shared" si="7"/>
        <v>2.8175214254200767</v>
      </c>
      <c r="T13" s="6">
        <f t="shared" si="7"/>
        <v>2.8694165297226073</v>
      </c>
      <c r="U13" s="6">
        <f t="shared" si="7"/>
        <v>2.9242443522992461</v>
      </c>
      <c r="V13" s="6">
        <f t="shared" si="7"/>
        <v>2.9822838577246769</v>
      </c>
      <c r="W13" s="6">
        <f t="shared" si="7"/>
        <v>3.0438526677268354</v>
      </c>
      <c r="X13" s="6">
        <f t="shared" si="7"/>
        <v>3.1093143050332301</v>
      </c>
      <c r="Y13" s="6">
        <f t="shared" si="7"/>
        <v>3.1790871924678865</v>
      </c>
      <c r="Z13" s="6">
        <f t="shared" si="7"/>
        <v>3.253655941443212</v>
      </c>
      <c r="AA13" s="6">
        <f t="shared" si="7"/>
        <v>3.3335856640967885</v>
      </c>
      <c r="AB13" s="6">
        <f t="shared" si="7"/>
        <v>3.4195403344396453</v>
      </c>
      <c r="AC13" s="6">
        <f t="shared" si="7"/>
        <v>3.5123066557811078</v>
      </c>
      <c r="AD13" s="6">
        <f t="shared" si="7"/>
        <v>3.6128255466627293</v>
      </c>
      <c r="AE13" s="6">
        <f t="shared" si="7"/>
        <v>3.7222343756601433</v>
      </c>
      <c r="AF13" s="6">
        <f t="shared" si="7"/>
        <v>3.8419247032441537</v>
      </c>
      <c r="AG13" s="6">
        <f t="shared" si="7"/>
        <v>3.973622977153235</v>
      </c>
      <c r="AH13" s="6">
        <f t="shared" si="7"/>
        <v>4.1195062375014331</v>
      </c>
      <c r="AI13" s="6">
        <f t="shared" si="7"/>
        <v>4.2823731514346468</v>
      </c>
      <c r="AJ13" s="6">
        <f t="shared" si="7"/>
        <v>4.4659063210991672</v>
      </c>
      <c r="AK13" s="6">
        <f t="shared" si="7"/>
        <v>4.6750933410590099</v>
      </c>
      <c r="AL13" s="6">
        <f t="shared" si="7"/>
        <v>4.9169431683408842</v>
      </c>
      <c r="AM13" s="6">
        <f t="shared" si="7"/>
        <v>5.201802858733017</v>
      </c>
      <c r="AN13" s="6">
        <f t="shared" si="7"/>
        <v>5.5460557575343481</v>
      </c>
      <c r="AO13" s="6">
        <f t="shared" si="7"/>
        <v>5.9786561435718104</v>
      </c>
      <c r="AP13" s="6">
        <f t="shared" si="7"/>
        <v>6.5625631480989037</v>
      </c>
      <c r="AQ13" s="6">
        <f t="shared" si="7"/>
        <v>7.6209556571779702</v>
      </c>
      <c r="AR13" s="6">
        <f t="shared" si="7"/>
        <v>7.6209556571779702</v>
      </c>
      <c r="AS13" s="6">
        <f t="shared" si="7"/>
        <v>7.6209556571779702</v>
      </c>
    </row>
    <row r="14" spans="1:55" x14ac:dyDescent="0.25">
      <c r="A14" t="s">
        <v>75</v>
      </c>
      <c r="B14" s="1">
        <v>0.52</v>
      </c>
      <c r="C14" t="s">
        <v>45</v>
      </c>
      <c r="E14" t="s">
        <v>79</v>
      </c>
      <c r="F14">
        <f>K9/K15</f>
        <v>3.3716344217741012</v>
      </c>
      <c r="I14" t="s">
        <v>77</v>
      </c>
      <c r="J14" t="s">
        <v>50</v>
      </c>
      <c r="M14">
        <f>M8/M13</f>
        <v>716.7070018214639</v>
      </c>
      <c r="N14">
        <f t="shared" ref="N14:AS14" si="8">N8/N13</f>
        <v>682.50429563046271</v>
      </c>
      <c r="O14">
        <f t="shared" si="8"/>
        <v>648.86007808770069</v>
      </c>
      <c r="P14">
        <f t="shared" si="8"/>
        <v>615.78489001900448</v>
      </c>
      <c r="Q14">
        <f t="shared" si="8"/>
        <v>583.28971028677302</v>
      </c>
      <c r="R14">
        <f t="shared" si="8"/>
        <v>551.38598913006842</v>
      </c>
      <c r="S14">
        <f t="shared" si="8"/>
        <v>520.08568546278468</v>
      </c>
      <c r="T14">
        <f t="shared" si="8"/>
        <v>489.40130878728473</v>
      </c>
      <c r="U14">
        <f t="shared" si="8"/>
        <v>459.34596652375961</v>
      </c>
      <c r="V14">
        <f t="shared" si="8"/>
        <v>429.93341773750865</v>
      </c>
      <c r="W14">
        <f t="shared" si="8"/>
        <v>401.17813448025595</v>
      </c>
      <c r="X14">
        <f t="shared" si="8"/>
        <v>373.09537226582637</v>
      </c>
      <c r="Y14">
        <f t="shared" si="8"/>
        <v>345.70125160081267</v>
      </c>
      <c r="Z14">
        <f t="shared" si="8"/>
        <v>319.01285302473889</v>
      </c>
      <c r="AA14">
        <f t="shared" si="8"/>
        <v>293.04832883657315</v>
      </c>
      <c r="AB14">
        <f t="shared" si="8"/>
        <v>267.82703567777332</v>
      </c>
      <c r="AC14">
        <f t="shared" si="8"/>
        <v>243.36969353260631</v>
      </c>
      <c r="AD14">
        <f t="shared" si="8"/>
        <v>219.69857869268145</v>
      </c>
      <c r="AE14">
        <f t="shared" si="8"/>
        <v>196.83776113450679</v>
      </c>
      <c r="AF14">
        <f t="shared" si="8"/>
        <v>174.8134011091237</v>
      </c>
      <c r="AG14">
        <f t="shared" si="8"/>
        <v>153.65412645995877</v>
      </c>
      <c r="AH14">
        <f t="shared" si="8"/>
        <v>133.39152291839196</v>
      </c>
      <c r="AI14">
        <f t="shared" si="8"/>
        <v>114.06078748296933</v>
      </c>
      <c r="AJ14">
        <f t="shared" si="8"/>
        <v>95.701626159457533</v>
      </c>
      <c r="AK14">
        <f t="shared" si="8"/>
        <v>78.359535037312682</v>
      </c>
      <c r="AL14">
        <f t="shared" si="8"/>
        <v>62.087718581636821</v>
      </c>
      <c r="AM14">
        <f t="shared" si="8"/>
        <v>46.950150477975917</v>
      </c>
      <c r="AN14">
        <f t="shared" si="8"/>
        <v>33.026907452539419</v>
      </c>
      <c r="AO14">
        <f t="shared" si="8"/>
        <v>20.424776162856357</v>
      </c>
      <c r="AP14">
        <f t="shared" si="8"/>
        <v>9.3037362636666447</v>
      </c>
      <c r="AQ14">
        <f t="shared" si="8"/>
        <v>8.0116404674157246E-4</v>
      </c>
      <c r="AR14">
        <f t="shared" si="8"/>
        <v>8.0116404674157246E-4</v>
      </c>
      <c r="AS14">
        <f t="shared" si="8"/>
        <v>8.0116404674157246E-4</v>
      </c>
    </row>
    <row r="15" spans="1:55" ht="30" customHeight="1" x14ac:dyDescent="0.25">
      <c r="B15" s="1"/>
      <c r="E15" s="5" t="s">
        <v>80</v>
      </c>
      <c r="F15" s="9">
        <f>K15</f>
        <v>59578.096052878856</v>
      </c>
      <c r="G15" t="s">
        <v>50</v>
      </c>
      <c r="I15" s="5" t="s">
        <v>78</v>
      </c>
      <c r="J15" t="s">
        <v>50</v>
      </c>
      <c r="K15">
        <f>SUM(M15:BC15)</f>
        <v>59578.096052878856</v>
      </c>
      <c r="M15">
        <f>M14*M4</f>
        <v>416.36036256894351</v>
      </c>
      <c r="N15">
        <f t="shared" ref="N15:AS15" si="9">N14*N4</f>
        <v>396.49080483568207</v>
      </c>
      <c r="O15">
        <f t="shared" si="9"/>
        <v>430.79507753818433</v>
      </c>
      <c r="P15">
        <f t="shared" si="9"/>
        <v>511.04450019562802</v>
      </c>
      <c r="Q15">
        <f t="shared" si="9"/>
        <v>629.29945876006047</v>
      </c>
      <c r="R15">
        <f t="shared" si="9"/>
        <v>732.15899070508488</v>
      </c>
      <c r="S15">
        <f t="shared" si="9"/>
        <v>1510.680543205749</v>
      </c>
      <c r="T15">
        <f t="shared" si="9"/>
        <v>1624.6312717193473</v>
      </c>
      <c r="U15">
        <f t="shared" si="9"/>
        <v>2439.7738489155013</v>
      </c>
      <c r="V15">
        <f t="shared" si="9"/>
        <v>3389.6472053636749</v>
      </c>
      <c r="W15">
        <f t="shared" si="9"/>
        <v>4361.5237421025349</v>
      </c>
      <c r="X15">
        <f t="shared" si="9"/>
        <v>4737.4101238450266</v>
      </c>
      <c r="Y15">
        <f t="shared" si="9"/>
        <v>5336.3411597311433</v>
      </c>
      <c r="Z15">
        <f t="shared" si="9"/>
        <v>5003.7969266704085</v>
      </c>
      <c r="AA15">
        <f t="shared" si="9"/>
        <v>4304.6932188889314</v>
      </c>
      <c r="AB15">
        <f t="shared" si="9"/>
        <v>4289.8431595880529</v>
      </c>
      <c r="AC15">
        <f t="shared" si="9"/>
        <v>3433.5636875322211</v>
      </c>
      <c r="AD15">
        <f t="shared" si="9"/>
        <v>3683.0558749698566</v>
      </c>
      <c r="AE15">
        <f t="shared" si="9"/>
        <v>2760.735577350802</v>
      </c>
      <c r="AF15">
        <f t="shared" si="9"/>
        <v>2132.6606110129233</v>
      </c>
      <c r="AG15">
        <f t="shared" si="9"/>
        <v>1849.021329073011</v>
      </c>
      <c r="AH15">
        <f t="shared" si="9"/>
        <v>1682.6799098667432</v>
      </c>
      <c r="AI15">
        <f t="shared" si="9"/>
        <v>1325.2386459352181</v>
      </c>
      <c r="AJ15">
        <f t="shared" si="9"/>
        <v>984.85136971700672</v>
      </c>
      <c r="AK15">
        <f t="shared" si="9"/>
        <v>767.36775909869755</v>
      </c>
      <c r="AL15">
        <f t="shared" si="9"/>
        <v>458.59086486801453</v>
      </c>
      <c r="AM15">
        <f t="shared" si="9"/>
        <v>253.26783383481509</v>
      </c>
      <c r="AN15">
        <f t="shared" si="9"/>
        <v>87.709690500885515</v>
      </c>
      <c r="AO15">
        <f t="shared" si="9"/>
        <v>35.596417449294592</v>
      </c>
      <c r="AP15">
        <f t="shared" si="9"/>
        <v>9.2654886325724295</v>
      </c>
      <c r="AQ15">
        <f t="shared" si="9"/>
        <v>3.3244602658983539E-4</v>
      </c>
      <c r="AR15">
        <f t="shared" si="9"/>
        <v>1.3297841063593415E-4</v>
      </c>
      <c r="AS15">
        <f t="shared" si="9"/>
        <v>1.3297841063593415E-4</v>
      </c>
    </row>
    <row r="16" spans="1:55" ht="30" customHeight="1" x14ac:dyDescent="0.25">
      <c r="B16" s="1"/>
      <c r="E16" s="5"/>
      <c r="I16" s="5"/>
    </row>
    <row r="17" spans="1:45" x14ac:dyDescent="0.25">
      <c r="A17" t="s">
        <v>82</v>
      </c>
      <c r="B17" s="1">
        <v>0.42</v>
      </c>
      <c r="E17" s="5" t="s">
        <v>81</v>
      </c>
      <c r="F17" s="8">
        <f>B4/K18</f>
        <v>2.9880357979874597</v>
      </c>
      <c r="M17">
        <f>M$11/(M$11-M6)*$B$17</f>
        <v>1.805461523929508</v>
      </c>
      <c r="N17">
        <f t="shared" ref="N17:AS17" si="10">N$11/(N$11-N6)*$B$17</f>
        <v>1.8519937965085669</v>
      </c>
      <c r="O17">
        <f t="shared" si="10"/>
        <v>1.9015670276506991</v>
      </c>
      <c r="P17">
        <f t="shared" si="10"/>
        <v>1.954499675937754</v>
      </c>
      <c r="Q17">
        <f t="shared" si="10"/>
        <v>2.0111570217386934</v>
      </c>
      <c r="R17">
        <f t="shared" si="10"/>
        <v>2.0719601896262652</v>
      </c>
      <c r="S17">
        <f t="shared" si="10"/>
        <v>2.1373973557140378</v>
      </c>
      <c r="T17">
        <f t="shared" si="10"/>
        <v>2.2080377864927154</v>
      </c>
      <c r="U17">
        <f t="shared" si="10"/>
        <v>2.2845495850001951</v>
      </c>
      <c r="V17">
        <f t="shared" si="10"/>
        <v>2.3677223454219409</v>
      </c>
      <c r="W17">
        <f t="shared" si="10"/>
        <v>2.4584963854716748</v>
      </c>
      <c r="X17">
        <f t="shared" si="10"/>
        <v>2.5580009107909594</v>
      </c>
      <c r="Y17">
        <f t="shared" si="10"/>
        <v>2.6676044848707585</v>
      </c>
      <c r="Z17">
        <f t="shared" si="10"/>
        <v>2.7889827240060727</v>
      </c>
      <c r="AA17">
        <f t="shared" si="10"/>
        <v>2.9242105314227418</v>
      </c>
      <c r="AB17">
        <f t="shared" si="10"/>
        <v>3.0758899809034261</v>
      </c>
      <c r="AC17">
        <f t="shared" si="10"/>
        <v>3.2473311360538037</v>
      </c>
      <c r="AD17">
        <f t="shared" si="10"/>
        <v>3.4428134343221086</v>
      </c>
      <c r="AE17">
        <f t="shared" si="10"/>
        <v>3.6679731644183491</v>
      </c>
      <c r="AF17">
        <f t="shared" si="10"/>
        <v>3.9303947228155218</v>
      </c>
      <c r="AG17">
        <f t="shared" si="10"/>
        <v>4.2405436472266782</v>
      </c>
      <c r="AH17">
        <f t="shared" si="10"/>
        <v>4.6132983607050067</v>
      </c>
      <c r="AI17">
        <f t="shared" si="10"/>
        <v>5.0705864161989949</v>
      </c>
      <c r="AJ17">
        <f t="shared" si="10"/>
        <v>5.6461901564901815</v>
      </c>
      <c r="AK17">
        <f t="shared" si="10"/>
        <v>6.3951577526288101</v>
      </c>
      <c r="AL17">
        <f t="shared" si="10"/>
        <v>7.414010368202125</v>
      </c>
      <c r="AM17">
        <f t="shared" si="10"/>
        <v>8.889824934314797</v>
      </c>
      <c r="AN17">
        <f t="shared" si="10"/>
        <v>11.242328274581183</v>
      </c>
      <c r="AO17">
        <f t="shared" si="10"/>
        <v>15.665944940453739</v>
      </c>
      <c r="AP17">
        <f t="shared" si="10"/>
        <v>27.649514563106656</v>
      </c>
      <c r="AQ17">
        <f t="shared" si="10"/>
        <v>44614.024445490861</v>
      </c>
      <c r="AR17">
        <f t="shared" si="10"/>
        <v>44614.024445490861</v>
      </c>
      <c r="AS17">
        <f t="shared" si="10"/>
        <v>44614.024445490861</v>
      </c>
    </row>
    <row r="18" spans="1:45" x14ac:dyDescent="0.25">
      <c r="K18" s="7">
        <f>SUM(M18:BC18)</f>
        <v>67469.071199141661</v>
      </c>
      <c r="M18">
        <f t="shared" ref="M18:AS18" si="11">M8/M17*M4</f>
        <v>589.37489681081991</v>
      </c>
      <c r="N18">
        <f t="shared" si="11"/>
        <v>555.41433849418002</v>
      </c>
      <c r="O18">
        <f t="shared" si="11"/>
        <v>596.89364761524985</v>
      </c>
      <c r="P18">
        <f t="shared" si="11"/>
        <v>699.98500764738799</v>
      </c>
      <c r="Q18">
        <f t="shared" si="11"/>
        <v>851.59146012702945</v>
      </c>
      <c r="R18">
        <f t="shared" si="11"/>
        <v>978.22590983624718</v>
      </c>
      <c r="S18">
        <f t="shared" si="11"/>
        <v>1991.3820825447383</v>
      </c>
      <c r="T18">
        <f t="shared" si="11"/>
        <v>2111.2608915903329</v>
      </c>
      <c r="U18">
        <f t="shared" si="11"/>
        <v>3122.9328290451344</v>
      </c>
      <c r="V18">
        <f t="shared" si="11"/>
        <v>4269.4575922229569</v>
      </c>
      <c r="W18">
        <f t="shared" si="11"/>
        <v>5399.9817759364714</v>
      </c>
      <c r="X18">
        <f t="shared" si="11"/>
        <v>5758.4408999783727</v>
      </c>
      <c r="Y18">
        <f t="shared" si="11"/>
        <v>6359.5236594312519</v>
      </c>
      <c r="Z18">
        <f t="shared" si="11"/>
        <v>5837.4809783156652</v>
      </c>
      <c r="AA18">
        <f t="shared" si="11"/>
        <v>4907.3291572617854</v>
      </c>
      <c r="AB18">
        <f t="shared" si="11"/>
        <v>4769.1210686029826</v>
      </c>
      <c r="AC18">
        <f t="shared" si="11"/>
        <v>3713.7353991631649</v>
      </c>
      <c r="AD18">
        <f t="shared" si="11"/>
        <v>3864.9315766648137</v>
      </c>
      <c r="AE18">
        <f t="shared" si="11"/>
        <v>2801.5758042637281</v>
      </c>
      <c r="AF18">
        <f t="shared" si="11"/>
        <v>2084.6561383577591</v>
      </c>
      <c r="AG18">
        <f t="shared" si="11"/>
        <v>1732.6348340397542</v>
      </c>
      <c r="AH18">
        <f t="shared" si="11"/>
        <v>1502.5714450766793</v>
      </c>
      <c r="AI18">
        <f t="shared" si="11"/>
        <v>1119.2327535265226</v>
      </c>
      <c r="AJ18">
        <f t="shared" si="11"/>
        <v>778.97729893256417</v>
      </c>
      <c r="AK18">
        <f t="shared" si="11"/>
        <v>560.97379290307595</v>
      </c>
      <c r="AL18">
        <f t="shared" si="11"/>
        <v>304.13569823791863</v>
      </c>
      <c r="AM18">
        <f t="shared" si="11"/>
        <v>148.19744503423172</v>
      </c>
      <c r="AN18">
        <f t="shared" si="11"/>
        <v>43.268869411493284</v>
      </c>
      <c r="AO18">
        <f t="shared" si="11"/>
        <v>13.58480070505137</v>
      </c>
      <c r="AP18">
        <f t="shared" si="11"/>
        <v>2.1991472620782657</v>
      </c>
      <c r="AQ18">
        <f t="shared" si="11"/>
        <v>5.6788340853258535E-8</v>
      </c>
      <c r="AR18">
        <f t="shared" si="11"/>
        <v>2.2715336341303413E-8</v>
      </c>
      <c r="AS18">
        <f t="shared" si="11"/>
        <v>2.2715336341303413E-8</v>
      </c>
    </row>
    <row r="20" spans="1:45" x14ac:dyDescent="0.25">
      <c r="A20" t="s">
        <v>71</v>
      </c>
      <c r="B20" s="1">
        <v>0.9</v>
      </c>
      <c r="C20" t="s">
        <v>45</v>
      </c>
      <c r="E20" s="5" t="s">
        <v>96</v>
      </c>
      <c r="F20">
        <f>$B$4/$B$21/$B$20</f>
        <v>44800</v>
      </c>
      <c r="G20" t="s">
        <v>64</v>
      </c>
      <c r="I20" t="s">
        <v>63</v>
      </c>
      <c r="J20" t="s">
        <v>64</v>
      </c>
      <c r="M20">
        <f t="shared" ref="M20:AS20" si="12">M8/$B$20/$B$21</f>
        <v>407.04237829046741</v>
      </c>
      <c r="N20">
        <f t="shared" si="12"/>
        <v>393.47429901411851</v>
      </c>
      <c r="O20">
        <f t="shared" si="12"/>
        <v>379.90621973776956</v>
      </c>
      <c r="P20">
        <f t="shared" si="12"/>
        <v>366.33814046142066</v>
      </c>
      <c r="Q20">
        <f t="shared" si="12"/>
        <v>352.77006118507177</v>
      </c>
      <c r="R20">
        <f t="shared" si="12"/>
        <v>339.20198190872281</v>
      </c>
      <c r="S20">
        <f t="shared" si="12"/>
        <v>325.63390263237392</v>
      </c>
      <c r="T20">
        <f t="shared" si="12"/>
        <v>312.06582335602502</v>
      </c>
      <c r="U20">
        <f t="shared" si="12"/>
        <v>298.49774407967612</v>
      </c>
      <c r="V20">
        <f t="shared" si="12"/>
        <v>284.92966480332723</v>
      </c>
      <c r="W20">
        <f t="shared" si="12"/>
        <v>271.36158552697827</v>
      </c>
      <c r="X20">
        <f t="shared" si="12"/>
        <v>257.79350625062938</v>
      </c>
      <c r="Y20">
        <f t="shared" si="12"/>
        <v>244.22542697428042</v>
      </c>
      <c r="Z20">
        <f t="shared" si="12"/>
        <v>230.65734769793153</v>
      </c>
      <c r="AA20">
        <f t="shared" si="12"/>
        <v>217.08926842158263</v>
      </c>
      <c r="AB20">
        <f t="shared" si="12"/>
        <v>203.52118914523371</v>
      </c>
      <c r="AC20">
        <f t="shared" si="12"/>
        <v>189.95310986888478</v>
      </c>
      <c r="AD20">
        <f t="shared" si="12"/>
        <v>176.38503059253588</v>
      </c>
      <c r="AE20">
        <f t="shared" si="12"/>
        <v>162.81695131618696</v>
      </c>
      <c r="AF20">
        <f t="shared" si="12"/>
        <v>149.24887203983806</v>
      </c>
      <c r="AG20">
        <f t="shared" si="12"/>
        <v>135.68079276348914</v>
      </c>
      <c r="AH20">
        <f t="shared" si="12"/>
        <v>122.11271348714021</v>
      </c>
      <c r="AI20">
        <f t="shared" si="12"/>
        <v>108.54463421079132</v>
      </c>
      <c r="AJ20">
        <f t="shared" si="12"/>
        <v>94.97655493444239</v>
      </c>
      <c r="AK20">
        <f t="shared" si="12"/>
        <v>81.408475658093479</v>
      </c>
      <c r="AL20">
        <f t="shared" si="12"/>
        <v>67.840396381744569</v>
      </c>
      <c r="AM20">
        <f t="shared" si="12"/>
        <v>54.272317105395658</v>
      </c>
      <c r="AN20">
        <f t="shared" si="12"/>
        <v>40.70423782904674</v>
      </c>
      <c r="AO20">
        <f t="shared" si="12"/>
        <v>27.136158552697829</v>
      </c>
      <c r="AP20">
        <f t="shared" si="12"/>
        <v>13.568079276348914</v>
      </c>
      <c r="AQ20">
        <f t="shared" si="12"/>
        <v>1.3568079276317293E-3</v>
      </c>
      <c r="AR20">
        <f t="shared" si="12"/>
        <v>1.3568079276317293E-3</v>
      </c>
      <c r="AS20">
        <f t="shared" si="12"/>
        <v>1.3568079276317293E-3</v>
      </c>
    </row>
    <row r="21" spans="1:45" x14ac:dyDescent="0.25">
      <c r="A21" t="s">
        <v>65</v>
      </c>
      <c r="B21">
        <v>5</v>
      </c>
      <c r="C21" t="s">
        <v>66</v>
      </c>
      <c r="E21" t="s">
        <v>68</v>
      </c>
      <c r="F21">
        <f>F20/$B$22</f>
        <v>68.92307692307692</v>
      </c>
      <c r="G21" t="s">
        <v>72</v>
      </c>
      <c r="I21" t="s">
        <v>67</v>
      </c>
      <c r="J21" t="s">
        <v>64</v>
      </c>
      <c r="K21">
        <f>SUM(M21:BC21)</f>
        <v>44639.013207922253</v>
      </c>
      <c r="M21">
        <f t="shared" ref="M21:AS21" si="13">M20*M4</f>
        <v>236.46526652485761</v>
      </c>
      <c r="N21">
        <f t="shared" si="13"/>
        <v>228.58309097402903</v>
      </c>
      <c r="O21">
        <f t="shared" si="13"/>
        <v>252.22961762651428</v>
      </c>
      <c r="P21">
        <f t="shared" si="13"/>
        <v>304.0267712462458</v>
      </c>
      <c r="Q21">
        <f t="shared" si="13"/>
        <v>380.59647659715154</v>
      </c>
      <c r="R21">
        <f t="shared" si="13"/>
        <v>450.4100314759192</v>
      </c>
      <c r="S21">
        <f t="shared" si="13"/>
        <v>945.86106609943056</v>
      </c>
      <c r="T21">
        <f t="shared" si="13"/>
        <v>1035.9430723946123</v>
      </c>
      <c r="U21">
        <f t="shared" si="13"/>
        <v>1585.4433107952329</v>
      </c>
      <c r="V21">
        <f t="shared" si="13"/>
        <v>2246.4200319861452</v>
      </c>
      <c r="W21">
        <f t="shared" si="13"/>
        <v>2950.1857061672736</v>
      </c>
      <c r="X21">
        <f t="shared" si="13"/>
        <v>3273.3549037512421</v>
      </c>
      <c r="Y21">
        <f t="shared" si="13"/>
        <v>3769.9319634534454</v>
      </c>
      <c r="Z21">
        <f t="shared" si="13"/>
        <v>3617.9185778303245</v>
      </c>
      <c r="AA21">
        <f t="shared" si="13"/>
        <v>3188.9030228495117</v>
      </c>
      <c r="AB21">
        <f t="shared" si="13"/>
        <v>3259.8426028069675</v>
      </c>
      <c r="AC21">
        <f t="shared" si="13"/>
        <v>2679.939687281721</v>
      </c>
      <c r="AD21">
        <f t="shared" si="13"/>
        <v>2956.9418566394106</v>
      </c>
      <c r="AE21">
        <f t="shared" si="13"/>
        <v>2283.5788595829131</v>
      </c>
      <c r="AF21">
        <f t="shared" si="13"/>
        <v>1820.7825522414046</v>
      </c>
      <c r="AG21">
        <f t="shared" si="13"/>
        <v>1632.7363641002066</v>
      </c>
      <c r="AH21">
        <f t="shared" si="13"/>
        <v>1540.4023076476437</v>
      </c>
      <c r="AI21">
        <f t="shared" si="13"/>
        <v>1261.1480881325742</v>
      </c>
      <c r="AJ21">
        <f t="shared" si="13"/>
        <v>977.38976830274498</v>
      </c>
      <c r="AK21">
        <f t="shared" si="13"/>
        <v>797.22575571237655</v>
      </c>
      <c r="AL21">
        <f t="shared" si="13"/>
        <v>501.08116001696044</v>
      </c>
      <c r="AM21">
        <f t="shared" si="13"/>
        <v>292.76652045934662</v>
      </c>
      <c r="AN21">
        <f t="shared" si="13"/>
        <v>108.09840755422042</v>
      </c>
      <c r="AO21">
        <f t="shared" si="13"/>
        <v>47.293053304971536</v>
      </c>
      <c r="AP21">
        <f t="shared" si="13"/>
        <v>13.512300944277586</v>
      </c>
      <c r="AQ21">
        <f t="shared" si="13"/>
        <v>5.6301253934358747E-4</v>
      </c>
      <c r="AR21">
        <f t="shared" si="13"/>
        <v>2.2520501573743498E-4</v>
      </c>
      <c r="AS21">
        <f t="shared" si="13"/>
        <v>2.2520501573743498E-4</v>
      </c>
    </row>
    <row r="22" spans="1:45" x14ac:dyDescent="0.25">
      <c r="A22" t="s">
        <v>69</v>
      </c>
      <c r="B22">
        <v>650</v>
      </c>
      <c r="C22" t="s">
        <v>70</v>
      </c>
    </row>
    <row r="26" spans="1:45" x14ac:dyDescent="0.25">
      <c r="A26" t="s">
        <v>99</v>
      </c>
      <c r="B26" s="10"/>
      <c r="C26" s="10" t="s">
        <v>83</v>
      </c>
      <c r="D26" s="10"/>
      <c r="E26" s="10"/>
    </row>
    <row r="27" spans="1:45" x14ac:dyDescent="0.25">
      <c r="A27" s="10" t="s">
        <v>84</v>
      </c>
      <c r="B27" s="10">
        <v>1.4686857142857142</v>
      </c>
      <c r="C27" s="10">
        <f>B27/10</f>
        <v>0.1468685714285714</v>
      </c>
      <c r="D27" s="10" t="s">
        <v>91</v>
      </c>
      <c r="E27" s="10">
        <f>B27*21000</f>
        <v>30842.399999999998</v>
      </c>
    </row>
    <row r="28" spans="1:45" x14ac:dyDescent="0.25">
      <c r="A28" s="10" t="s">
        <v>85</v>
      </c>
      <c r="B28" s="10">
        <v>0.13752857142857142</v>
      </c>
      <c r="C28" s="10">
        <f>B28</f>
        <v>0.13752857142857142</v>
      </c>
      <c r="D28" s="10" t="s">
        <v>92</v>
      </c>
      <c r="E28" s="10">
        <f>B28*201600/0.98</f>
        <v>28291.591836734693</v>
      </c>
    </row>
    <row r="29" spans="1:45" x14ac:dyDescent="0.25">
      <c r="A29" s="10" t="s">
        <v>86</v>
      </c>
      <c r="B29" s="10">
        <v>0.28000000000000003</v>
      </c>
      <c r="C29" s="10">
        <f>B29</f>
        <v>0.28000000000000003</v>
      </c>
      <c r="D29" s="10" t="s">
        <v>93</v>
      </c>
      <c r="E29" s="10">
        <f>F15*$B$29</f>
        <v>16681.86689480608</v>
      </c>
    </row>
    <row r="30" spans="1:45" x14ac:dyDescent="0.25">
      <c r="A30" s="10" t="s">
        <v>87</v>
      </c>
      <c r="B30" s="10">
        <v>0.50976238095238102</v>
      </c>
      <c r="C30" s="10">
        <f>B30/5</f>
        <v>0.1019524761904762</v>
      </c>
      <c r="D30" s="10" t="s">
        <v>94</v>
      </c>
      <c r="E30" s="10">
        <f>K18*$B$29</f>
        <v>18891.339935759668</v>
      </c>
    </row>
    <row r="31" spans="1:45" x14ac:dyDescent="0.25">
      <c r="A31" s="11" t="s">
        <v>88</v>
      </c>
      <c r="B31" s="10"/>
      <c r="C31" s="10"/>
      <c r="D31" s="10" t="s">
        <v>95</v>
      </c>
      <c r="E31" s="10">
        <f>$F$20*B30</f>
        <v>22837.35466666667</v>
      </c>
    </row>
    <row r="32" spans="1:45" x14ac:dyDescent="0.25">
      <c r="A32" s="10"/>
      <c r="B32" s="10"/>
      <c r="C32" s="10"/>
      <c r="D32" s="10"/>
      <c r="E32" s="10"/>
    </row>
    <row r="33" spans="1:5" x14ac:dyDescent="0.25">
      <c r="A33" t="s">
        <v>100</v>
      </c>
      <c r="B33" s="10"/>
      <c r="C33" s="10"/>
      <c r="D33" s="10"/>
      <c r="E33" s="10"/>
    </row>
    <row r="34" spans="1:5" x14ac:dyDescent="0.25">
      <c r="A34" s="10" t="s">
        <v>84</v>
      </c>
      <c r="B34" s="10">
        <v>0.85423333333333329</v>
      </c>
      <c r="C34" s="10">
        <f>B34/10</f>
        <v>8.5423333333333323E-2</v>
      </c>
      <c r="D34" s="10" t="s">
        <v>91</v>
      </c>
      <c r="E34" s="10">
        <f>B34*21000</f>
        <v>17938.899999999998</v>
      </c>
    </row>
    <row r="35" spans="1:5" x14ac:dyDescent="0.25">
      <c r="A35" s="10" t="s">
        <v>85</v>
      </c>
      <c r="B35" s="10">
        <v>9.3616666666666681E-2</v>
      </c>
      <c r="C35" s="10">
        <f>B35</f>
        <v>9.3616666666666681E-2</v>
      </c>
      <c r="D35" s="10" t="s">
        <v>92</v>
      </c>
      <c r="E35" s="10">
        <f>B35*201600/0.98</f>
        <v>19258.285714285717</v>
      </c>
    </row>
    <row r="36" spans="1:5" x14ac:dyDescent="0.25">
      <c r="A36" s="10" t="s">
        <v>86</v>
      </c>
      <c r="B36" s="10">
        <v>0.21</v>
      </c>
      <c r="C36" s="10">
        <f>B36</f>
        <v>0.21</v>
      </c>
      <c r="D36" s="10" t="s">
        <v>93</v>
      </c>
      <c r="E36" s="10">
        <f>F15*$B$36</f>
        <v>12511.40017110456</v>
      </c>
    </row>
    <row r="37" spans="1:5" x14ac:dyDescent="0.25">
      <c r="A37" s="10" t="s">
        <v>87</v>
      </c>
      <c r="B37" s="10">
        <v>0.34807361111111118</v>
      </c>
      <c r="C37" s="10">
        <f>B37/5</f>
        <v>6.9614722222222231E-2</v>
      </c>
      <c r="D37" s="10" t="s">
        <v>94</v>
      </c>
      <c r="E37" s="10">
        <f>K18*$B$36</f>
        <v>14168.504951819748</v>
      </c>
    </row>
    <row r="38" spans="1:5" x14ac:dyDescent="0.25">
      <c r="A38" s="10"/>
      <c r="B38" s="10"/>
      <c r="C38" s="10"/>
      <c r="D38" s="10" t="s">
        <v>95</v>
      </c>
      <c r="E38" s="10">
        <f>$F$20*B37</f>
        <v>15593.697777777781</v>
      </c>
    </row>
    <row r="39" spans="1:5" x14ac:dyDescent="0.25">
      <c r="A39" s="11" t="s">
        <v>89</v>
      </c>
      <c r="B39" s="10" t="s">
        <v>90</v>
      </c>
      <c r="C39" s="10"/>
      <c r="D39" s="10"/>
      <c r="E39" s="10"/>
    </row>
  </sheetData>
  <hyperlinks>
    <hyperlink ref="A31" r:id="rId1" xr:uid="{8283E2A0-5162-4ED6-90EC-BF348A28E9A8}"/>
    <hyperlink ref="A39" r:id="rId2" xr:uid="{84A99757-77C8-4D86-8F89-B9D7E55CF710}"/>
  </hyperlinks>
  <pageMargins left="0.7" right="0.7" top="0.75" bottom="0.75" header="0.3" footer="0.3"/>
  <pageSetup paperSize="9" orientation="portrait" verticalDpi="0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1FACC-122C-4BC4-87CA-184C3F2AF5E6}">
  <dimension ref="A1:BC44"/>
  <sheetViews>
    <sheetView zoomScale="55" zoomScaleNormal="55" workbookViewId="0">
      <selection activeCell="F15" sqref="F15"/>
    </sheetView>
  </sheetViews>
  <sheetFormatPr baseColWidth="10" defaultColWidth="9.140625" defaultRowHeight="15" x14ac:dyDescent="0.25"/>
  <cols>
    <col min="1" max="1" width="34.42578125" customWidth="1"/>
    <col min="2" max="2" width="12.28515625" customWidth="1"/>
    <col min="3" max="3" width="17.85546875" customWidth="1"/>
    <col min="4" max="4" width="13.7109375" customWidth="1"/>
    <col min="5" max="5" width="27.42578125" customWidth="1"/>
    <col min="6" max="6" width="11.7109375" customWidth="1"/>
    <col min="7" max="7" width="13.7109375" customWidth="1"/>
    <col min="9" max="9" width="43" customWidth="1"/>
    <col min="10" max="10" width="9.28515625" customWidth="1"/>
    <col min="11" max="11" width="21.140625" customWidth="1"/>
    <col min="13" max="55" width="15.7109375" customWidth="1"/>
  </cols>
  <sheetData>
    <row r="1" spans="1:55" ht="18.75" x14ac:dyDescent="0.3">
      <c r="A1" s="4" t="s">
        <v>39</v>
      </c>
      <c r="B1" s="4" t="s">
        <v>42</v>
      </c>
      <c r="C1" s="4" t="s">
        <v>34</v>
      </c>
      <c r="D1" s="4"/>
      <c r="E1" s="4" t="s">
        <v>58</v>
      </c>
      <c r="F1" s="4" t="s">
        <v>42</v>
      </c>
      <c r="G1" s="4" t="s">
        <v>34</v>
      </c>
      <c r="H1" s="4"/>
      <c r="I1" s="4" t="s">
        <v>33</v>
      </c>
      <c r="J1" s="4" t="s">
        <v>34</v>
      </c>
      <c r="K1" s="4" t="s">
        <v>35</v>
      </c>
    </row>
    <row r="2" spans="1:55" x14ac:dyDescent="0.25">
      <c r="A2" t="s">
        <v>41</v>
      </c>
      <c r="B2">
        <v>242.25</v>
      </c>
      <c r="C2" t="s">
        <v>44</v>
      </c>
      <c r="I2" t="s">
        <v>36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13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t="s">
        <v>31</v>
      </c>
      <c r="AS2" t="s">
        <v>32</v>
      </c>
    </row>
    <row r="3" spans="1:55" x14ac:dyDescent="0.25">
      <c r="A3" t="s">
        <v>57</v>
      </c>
      <c r="B3">
        <v>6.37</v>
      </c>
      <c r="C3" t="s">
        <v>43</v>
      </c>
      <c r="I3" t="s">
        <v>37</v>
      </c>
      <c r="J3" t="s">
        <v>45</v>
      </c>
      <c r="K3" s="3">
        <f>SUM(M3:BC3)</f>
        <v>0.999999999999999</v>
      </c>
      <c r="M3" s="2">
        <v>2.3980815347721799E-3</v>
      </c>
      <c r="N3" s="2">
        <v>2.3980815347721799E-3</v>
      </c>
      <c r="O3" s="2">
        <v>2.7406646111682001E-3</v>
      </c>
      <c r="P3" s="2">
        <v>3.42583076396026E-3</v>
      </c>
      <c r="Q3" s="2">
        <v>4.4535799931483301E-3</v>
      </c>
      <c r="R3" s="2">
        <v>5.4813292223364098E-3</v>
      </c>
      <c r="S3" s="2">
        <v>1.1990407673860899E-2</v>
      </c>
      <c r="T3" s="2">
        <v>1.3703323055841E-2</v>
      </c>
      <c r="U3" s="2">
        <v>2.1925316889345601E-2</v>
      </c>
      <c r="V3" s="2">
        <v>3.2545392257622402E-2</v>
      </c>
      <c r="W3" s="2">
        <v>4.4878383007879399E-2</v>
      </c>
      <c r="X3" s="2">
        <v>5.2415210688591903E-2</v>
      </c>
      <c r="Y3" s="2">
        <v>6.3720452209660799E-2</v>
      </c>
      <c r="Z3" s="2">
        <v>6.4748201438848907E-2</v>
      </c>
      <c r="AA3" s="2">
        <v>6.0637204522096602E-2</v>
      </c>
      <c r="AB3" s="2">
        <v>6.6118533744432995E-2</v>
      </c>
      <c r="AC3" s="2">
        <v>5.82391229873244E-2</v>
      </c>
      <c r="AD3" s="2">
        <v>6.9201781431997206E-2</v>
      </c>
      <c r="AE3" s="2">
        <v>5.7896539910928399E-2</v>
      </c>
      <c r="AF3" s="2">
        <v>5.0359712230215799E-2</v>
      </c>
      <c r="AG3" s="2">
        <v>4.9674546077423699E-2</v>
      </c>
      <c r="AH3" s="2">
        <v>5.2072627612195901E-2</v>
      </c>
      <c r="AI3" s="2">
        <v>4.7961630695443597E-2</v>
      </c>
      <c r="AJ3" s="2">
        <v>4.2480301473107197E-2</v>
      </c>
      <c r="AK3" s="2">
        <v>4.0424803014731003E-2</v>
      </c>
      <c r="AL3" s="2">
        <v>3.0489893799246302E-2</v>
      </c>
      <c r="AM3" s="2">
        <v>2.2267899965741599E-2</v>
      </c>
      <c r="AN3" s="2">
        <v>1.09626584446728E-2</v>
      </c>
      <c r="AO3" s="2">
        <v>7.1942446043165402E-3</v>
      </c>
      <c r="AP3" s="2">
        <v>4.1109969167523099E-3</v>
      </c>
      <c r="AQ3" s="2">
        <v>1.71291538198013E-3</v>
      </c>
      <c r="AR3" s="2">
        <v>6.8516615279205198E-4</v>
      </c>
      <c r="AS3" s="2">
        <v>6.8516615279205198E-4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</row>
    <row r="4" spans="1:55" x14ac:dyDescent="0.25">
      <c r="A4" t="s">
        <v>49</v>
      </c>
      <c r="B4">
        <v>201600</v>
      </c>
      <c r="C4" t="s">
        <v>51</v>
      </c>
      <c r="I4" t="s">
        <v>38</v>
      </c>
      <c r="J4" t="s">
        <v>44</v>
      </c>
      <c r="K4">
        <f>SUM(M4:BC4)</f>
        <v>242.2499999999998</v>
      </c>
      <c r="M4">
        <f t="shared" ref="M4:AS4" si="0">M3*$B$2</f>
        <v>0.58093525179856054</v>
      </c>
      <c r="N4">
        <f t="shared" si="0"/>
        <v>0.58093525179856054</v>
      </c>
      <c r="O4">
        <f t="shared" si="0"/>
        <v>0.66392600205549646</v>
      </c>
      <c r="P4">
        <f t="shared" si="0"/>
        <v>0.82990750256937296</v>
      </c>
      <c r="Q4">
        <f t="shared" si="0"/>
        <v>1.078879753340183</v>
      </c>
      <c r="R4">
        <f t="shared" si="0"/>
        <v>1.3278520041109954</v>
      </c>
      <c r="S4">
        <f t="shared" si="0"/>
        <v>2.904676258992803</v>
      </c>
      <c r="T4">
        <f t="shared" si="0"/>
        <v>3.3196300102774821</v>
      </c>
      <c r="U4">
        <f t="shared" si="0"/>
        <v>5.3114080164439716</v>
      </c>
      <c r="V4">
        <f t="shared" si="0"/>
        <v>7.8841212744090265</v>
      </c>
      <c r="W4">
        <f t="shared" si="0"/>
        <v>10.871788283658784</v>
      </c>
      <c r="X4">
        <f t="shared" si="0"/>
        <v>12.697584789311389</v>
      </c>
      <c r="Y4">
        <f t="shared" si="0"/>
        <v>15.436279547790329</v>
      </c>
      <c r="Z4">
        <f t="shared" si="0"/>
        <v>15.685251798561147</v>
      </c>
      <c r="AA4">
        <f t="shared" si="0"/>
        <v>14.689362795477901</v>
      </c>
      <c r="AB4">
        <f t="shared" si="0"/>
        <v>16.017214799588892</v>
      </c>
      <c r="AC4">
        <f t="shared" si="0"/>
        <v>14.108427543679335</v>
      </c>
      <c r="AD4">
        <f t="shared" si="0"/>
        <v>16.764131551901322</v>
      </c>
      <c r="AE4">
        <f t="shared" si="0"/>
        <v>14.025436793422404</v>
      </c>
      <c r="AF4">
        <f t="shared" si="0"/>
        <v>12.199640287769776</v>
      </c>
      <c r="AG4">
        <f t="shared" si="0"/>
        <v>12.033658787255892</v>
      </c>
      <c r="AH4">
        <f t="shared" si="0"/>
        <v>12.614594039054458</v>
      </c>
      <c r="AI4">
        <f t="shared" si="0"/>
        <v>11.618705035971212</v>
      </c>
      <c r="AJ4">
        <f t="shared" si="0"/>
        <v>10.290853031860218</v>
      </c>
      <c r="AK4">
        <f t="shared" si="0"/>
        <v>9.7929085303185861</v>
      </c>
      <c r="AL4">
        <f t="shared" si="0"/>
        <v>7.3861767728674161</v>
      </c>
      <c r="AM4">
        <f t="shared" si="0"/>
        <v>5.3943987667009026</v>
      </c>
      <c r="AN4">
        <f t="shared" si="0"/>
        <v>2.6557040082219858</v>
      </c>
      <c r="AO4">
        <f t="shared" si="0"/>
        <v>1.7428057553956819</v>
      </c>
      <c r="AP4">
        <f t="shared" si="0"/>
        <v>0.99588900308324713</v>
      </c>
      <c r="AQ4">
        <f t="shared" si="0"/>
        <v>0.41495375128468648</v>
      </c>
      <c r="AR4">
        <f t="shared" si="0"/>
        <v>0.16598150051387459</v>
      </c>
      <c r="AS4">
        <f t="shared" si="0"/>
        <v>0.16598150051387459</v>
      </c>
    </row>
    <row r="5" spans="1:55" ht="45" customHeight="1" x14ac:dyDescent="0.25">
      <c r="A5" t="s">
        <v>54</v>
      </c>
      <c r="B5">
        <v>20</v>
      </c>
      <c r="C5" t="s">
        <v>43</v>
      </c>
      <c r="E5" s="5" t="s">
        <v>59</v>
      </c>
      <c r="F5" s="6">
        <f>B4/B2/(20-B3)</f>
        <v>61.056356743570113</v>
      </c>
      <c r="G5" t="s">
        <v>60</v>
      </c>
      <c r="I5" s="5" t="s">
        <v>62</v>
      </c>
      <c r="J5" t="s">
        <v>43</v>
      </c>
      <c r="M5">
        <v>-10</v>
      </c>
      <c r="N5">
        <v>-9</v>
      </c>
      <c r="O5">
        <v>-8</v>
      </c>
      <c r="P5">
        <v>-7</v>
      </c>
      <c r="Q5">
        <v>-6</v>
      </c>
      <c r="R5">
        <v>-5</v>
      </c>
      <c r="S5">
        <v>-4</v>
      </c>
      <c r="T5">
        <v>-3</v>
      </c>
      <c r="U5">
        <v>-2</v>
      </c>
      <c r="V5">
        <v>-1</v>
      </c>
      <c r="W5">
        <v>0</v>
      </c>
      <c r="X5">
        <v>1</v>
      </c>
      <c r="Y5">
        <v>2</v>
      </c>
      <c r="Z5">
        <v>3</v>
      </c>
      <c r="AA5">
        <v>4</v>
      </c>
      <c r="AB5">
        <v>5</v>
      </c>
      <c r="AC5">
        <v>6</v>
      </c>
      <c r="AD5">
        <v>7</v>
      </c>
      <c r="AE5">
        <v>8</v>
      </c>
      <c r="AF5">
        <v>9</v>
      </c>
      <c r="AG5">
        <v>10</v>
      </c>
      <c r="AH5">
        <v>11</v>
      </c>
      <c r="AI5">
        <v>12</v>
      </c>
      <c r="AJ5">
        <v>13</v>
      </c>
      <c r="AK5">
        <v>14</v>
      </c>
      <c r="AL5">
        <v>15</v>
      </c>
      <c r="AM5">
        <v>16</v>
      </c>
      <c r="AN5">
        <v>17</v>
      </c>
      <c r="AO5">
        <v>18</v>
      </c>
      <c r="AP5">
        <v>19</v>
      </c>
      <c r="AQ5">
        <v>20</v>
      </c>
      <c r="AR5">
        <v>20</v>
      </c>
      <c r="AS5">
        <v>20</v>
      </c>
    </row>
    <row r="6" spans="1:55" ht="30" x14ac:dyDescent="0.25">
      <c r="A6" s="5" t="s">
        <v>55</v>
      </c>
      <c r="B6">
        <f>B5</f>
        <v>20</v>
      </c>
      <c r="C6" t="s">
        <v>43</v>
      </c>
      <c r="I6" t="s">
        <v>40</v>
      </c>
      <c r="J6" t="s">
        <v>53</v>
      </c>
      <c r="M6">
        <f>M5+273.15</f>
        <v>263.14999999999998</v>
      </c>
      <c r="N6">
        <f t="shared" ref="N6:AS6" si="1">N5+273.15</f>
        <v>264.14999999999998</v>
      </c>
      <c r="O6">
        <f t="shared" si="1"/>
        <v>265.14999999999998</v>
      </c>
      <c r="P6">
        <f t="shared" si="1"/>
        <v>266.14999999999998</v>
      </c>
      <c r="Q6">
        <f t="shared" si="1"/>
        <v>267.14999999999998</v>
      </c>
      <c r="R6">
        <f t="shared" si="1"/>
        <v>268.14999999999998</v>
      </c>
      <c r="S6">
        <f t="shared" si="1"/>
        <v>269.14999999999998</v>
      </c>
      <c r="T6">
        <f t="shared" si="1"/>
        <v>270.14999999999998</v>
      </c>
      <c r="U6">
        <f t="shared" si="1"/>
        <v>271.14999999999998</v>
      </c>
      <c r="V6">
        <f t="shared" si="1"/>
        <v>272.14999999999998</v>
      </c>
      <c r="W6">
        <f t="shared" si="1"/>
        <v>273.14999999999998</v>
      </c>
      <c r="X6">
        <f t="shared" si="1"/>
        <v>274.14999999999998</v>
      </c>
      <c r="Y6">
        <f t="shared" si="1"/>
        <v>275.14999999999998</v>
      </c>
      <c r="Z6">
        <f t="shared" si="1"/>
        <v>276.14999999999998</v>
      </c>
      <c r="AA6">
        <f t="shared" si="1"/>
        <v>277.14999999999998</v>
      </c>
      <c r="AB6">
        <f t="shared" si="1"/>
        <v>278.14999999999998</v>
      </c>
      <c r="AC6">
        <f t="shared" si="1"/>
        <v>279.14999999999998</v>
      </c>
      <c r="AD6">
        <f t="shared" si="1"/>
        <v>280.14999999999998</v>
      </c>
      <c r="AE6">
        <f t="shared" si="1"/>
        <v>281.14999999999998</v>
      </c>
      <c r="AF6">
        <f t="shared" si="1"/>
        <v>282.14999999999998</v>
      </c>
      <c r="AG6">
        <f t="shared" si="1"/>
        <v>283.14999999999998</v>
      </c>
      <c r="AH6">
        <f t="shared" si="1"/>
        <v>284.14999999999998</v>
      </c>
      <c r="AI6">
        <f t="shared" si="1"/>
        <v>285.14999999999998</v>
      </c>
      <c r="AJ6">
        <f t="shared" si="1"/>
        <v>286.14999999999998</v>
      </c>
      <c r="AK6">
        <f t="shared" si="1"/>
        <v>287.14999999999998</v>
      </c>
      <c r="AL6">
        <f t="shared" si="1"/>
        <v>288.14999999999998</v>
      </c>
      <c r="AM6">
        <f t="shared" si="1"/>
        <v>289.14999999999998</v>
      </c>
      <c r="AN6">
        <f t="shared" si="1"/>
        <v>290.14999999999998</v>
      </c>
      <c r="AO6">
        <f t="shared" si="1"/>
        <v>291.14999999999998</v>
      </c>
      <c r="AP6">
        <f t="shared" si="1"/>
        <v>292.14999999999998</v>
      </c>
      <c r="AQ6">
        <f t="shared" si="1"/>
        <v>293.14999999999998</v>
      </c>
      <c r="AR6">
        <f t="shared" si="1"/>
        <v>293.14999999999998</v>
      </c>
      <c r="AS6">
        <f t="shared" si="1"/>
        <v>293.14999999999998</v>
      </c>
    </row>
    <row r="7" spans="1:55" x14ac:dyDescent="0.25">
      <c r="A7" t="s">
        <v>56</v>
      </c>
      <c r="B7">
        <v>1.3</v>
      </c>
    </row>
    <row r="8" spans="1:55" x14ac:dyDescent="0.25">
      <c r="I8" t="s">
        <v>47</v>
      </c>
      <c r="J8" t="s">
        <v>48</v>
      </c>
      <c r="M8">
        <f>(20-M5)*$F$5</f>
        <v>1831.6907023071035</v>
      </c>
      <c r="N8">
        <f t="shared" ref="N8:AS8" si="2">(20-N5)*$F$5</f>
        <v>1770.6343455635333</v>
      </c>
      <c r="O8">
        <f t="shared" si="2"/>
        <v>1709.5779888199631</v>
      </c>
      <c r="P8">
        <f t="shared" si="2"/>
        <v>1648.521632076393</v>
      </c>
      <c r="Q8">
        <f t="shared" si="2"/>
        <v>1587.465275332823</v>
      </c>
      <c r="R8">
        <f t="shared" si="2"/>
        <v>1526.4089185892528</v>
      </c>
      <c r="S8">
        <f t="shared" si="2"/>
        <v>1465.3525618456827</v>
      </c>
      <c r="T8">
        <f t="shared" si="2"/>
        <v>1404.2962051021127</v>
      </c>
      <c r="U8">
        <f t="shared" si="2"/>
        <v>1343.2398483585425</v>
      </c>
      <c r="V8">
        <f t="shared" si="2"/>
        <v>1282.1834916149724</v>
      </c>
      <c r="W8">
        <f t="shared" si="2"/>
        <v>1221.1271348714022</v>
      </c>
      <c r="X8">
        <f t="shared" si="2"/>
        <v>1160.0707781278322</v>
      </c>
      <c r="Y8">
        <f t="shared" si="2"/>
        <v>1099.0144213842621</v>
      </c>
      <c r="Z8">
        <f t="shared" si="2"/>
        <v>1037.9580646406919</v>
      </c>
      <c r="AA8">
        <f t="shared" si="2"/>
        <v>976.90170789712181</v>
      </c>
      <c r="AB8">
        <f t="shared" si="2"/>
        <v>915.84535115355175</v>
      </c>
      <c r="AC8">
        <f t="shared" si="2"/>
        <v>854.78899440998157</v>
      </c>
      <c r="AD8">
        <f t="shared" si="2"/>
        <v>793.73263766641151</v>
      </c>
      <c r="AE8">
        <f t="shared" si="2"/>
        <v>732.67628092284133</v>
      </c>
      <c r="AF8">
        <f t="shared" si="2"/>
        <v>671.61992417927127</v>
      </c>
      <c r="AG8">
        <f t="shared" si="2"/>
        <v>610.56356743570109</v>
      </c>
      <c r="AH8">
        <f t="shared" si="2"/>
        <v>549.50721069213103</v>
      </c>
      <c r="AI8">
        <f t="shared" si="2"/>
        <v>488.4508539485609</v>
      </c>
      <c r="AJ8">
        <f t="shared" si="2"/>
        <v>427.39449720499078</v>
      </c>
      <c r="AK8">
        <f t="shared" si="2"/>
        <v>366.33814046142066</v>
      </c>
      <c r="AL8">
        <f t="shared" si="2"/>
        <v>305.28178371785054</v>
      </c>
      <c r="AM8">
        <f t="shared" si="2"/>
        <v>244.22542697428045</v>
      </c>
      <c r="AN8">
        <f t="shared" si="2"/>
        <v>183.16907023071033</v>
      </c>
      <c r="AO8">
        <f t="shared" si="2"/>
        <v>122.11271348714023</v>
      </c>
      <c r="AP8">
        <f t="shared" si="2"/>
        <v>61.056356743570113</v>
      </c>
      <c r="AQ8">
        <f t="shared" si="2"/>
        <v>0</v>
      </c>
      <c r="AR8">
        <f t="shared" si="2"/>
        <v>0</v>
      </c>
      <c r="AS8">
        <f t="shared" si="2"/>
        <v>0</v>
      </c>
    </row>
    <row r="9" spans="1:55" ht="30" customHeight="1" x14ac:dyDescent="0.25">
      <c r="I9" s="5" t="s">
        <v>61</v>
      </c>
      <c r="J9" t="s">
        <v>50</v>
      </c>
      <c r="K9">
        <f t="shared" ref="K9" si="3">SUM(M9:BC9)</f>
        <v>200875.55487524852</v>
      </c>
      <c r="M9">
        <f>M8*M4</f>
        <v>1064.0936993618593</v>
      </c>
      <c r="N9">
        <f t="shared" ref="N9:AS9" si="4">N8*N4</f>
        <v>1028.6239093831307</v>
      </c>
      <c r="O9">
        <f t="shared" si="4"/>
        <v>1135.0332793193143</v>
      </c>
      <c r="P9">
        <f t="shared" si="4"/>
        <v>1368.120470608106</v>
      </c>
      <c r="Q9">
        <f t="shared" si="4"/>
        <v>1712.6841446871817</v>
      </c>
      <c r="R9">
        <f t="shared" si="4"/>
        <v>2026.8451416416365</v>
      </c>
      <c r="S9">
        <f t="shared" si="4"/>
        <v>4256.3747974474372</v>
      </c>
      <c r="T9">
        <f t="shared" si="4"/>
        <v>4661.7438257757558</v>
      </c>
      <c r="U9">
        <f t="shared" si="4"/>
        <v>7134.4948985785477</v>
      </c>
      <c r="V9">
        <f t="shared" si="4"/>
        <v>10108.890143937651</v>
      </c>
      <c r="W9">
        <f t="shared" si="4"/>
        <v>13275.83567775273</v>
      </c>
      <c r="X9">
        <f t="shared" si="4"/>
        <v>14730.097066880589</v>
      </c>
      <c r="Y9">
        <f t="shared" si="4"/>
        <v>16964.693835540507</v>
      </c>
      <c r="Z9">
        <f t="shared" si="4"/>
        <v>16280.633600236459</v>
      </c>
      <c r="AA9">
        <f t="shared" si="4"/>
        <v>14350.063602822802</v>
      </c>
      <c r="AB9">
        <f t="shared" si="4"/>
        <v>14669.291712631355</v>
      </c>
      <c r="AC9">
        <f t="shared" si="4"/>
        <v>12059.728592767746</v>
      </c>
      <c r="AD9">
        <f t="shared" si="4"/>
        <v>13306.238354877349</v>
      </c>
      <c r="AE9">
        <f t="shared" si="4"/>
        <v>10276.104868123108</v>
      </c>
      <c r="AF9">
        <f t="shared" si="4"/>
        <v>8193.5214850863213</v>
      </c>
      <c r="AG9">
        <f t="shared" si="4"/>
        <v>7347.3136384509298</v>
      </c>
      <c r="AH9">
        <f t="shared" si="4"/>
        <v>6931.810384414398</v>
      </c>
      <c r="AI9">
        <f t="shared" si="4"/>
        <v>5675.1663965965836</v>
      </c>
      <c r="AJ9">
        <f t="shared" si="4"/>
        <v>4398.2539573623526</v>
      </c>
      <c r="AK9">
        <f t="shared" si="4"/>
        <v>3587.515900705695</v>
      </c>
      <c r="AL9">
        <f t="shared" si="4"/>
        <v>2254.8652200763217</v>
      </c>
      <c r="AM9">
        <f t="shared" si="4"/>
        <v>1317.4493420670599</v>
      </c>
      <c r="AN9">
        <f t="shared" si="4"/>
        <v>486.44283399399183</v>
      </c>
      <c r="AO9">
        <f t="shared" si="4"/>
        <v>212.81873987237191</v>
      </c>
      <c r="AP9">
        <f t="shared" si="4"/>
        <v>60.805354249249135</v>
      </c>
      <c r="AQ9">
        <f t="shared" si="4"/>
        <v>0</v>
      </c>
      <c r="AR9">
        <f t="shared" si="4"/>
        <v>0</v>
      </c>
      <c r="AS9">
        <f t="shared" si="4"/>
        <v>0</v>
      </c>
    </row>
    <row r="10" spans="1:55" x14ac:dyDescent="0.25">
      <c r="I10" t="s">
        <v>52</v>
      </c>
      <c r="J10" t="s">
        <v>43</v>
      </c>
      <c r="M10">
        <f>20+$B$7*2.125*(20-M5)^0.78</f>
        <v>59.215419519440445</v>
      </c>
      <c r="N10">
        <f t="shared" ref="N10:AS10" si="5">20+$B$7*2.125*(20-N5)^0.78</f>
        <v>58.192028439181044</v>
      </c>
      <c r="O10">
        <f t="shared" si="5"/>
        <v>57.160842457774173</v>
      </c>
      <c r="P10">
        <f t="shared" si="5"/>
        <v>56.121520459278813</v>
      </c>
      <c r="Q10">
        <f t="shared" si="5"/>
        <v>55.073693147808484</v>
      </c>
      <c r="R10">
        <f t="shared" si="5"/>
        <v>54.016959539634655</v>
      </c>
      <c r="S10">
        <f t="shared" si="5"/>
        <v>52.950882859851937</v>
      </c>
      <c r="T10">
        <f t="shared" si="5"/>
        <v>51.874985713310018</v>
      </c>
      <c r="U10">
        <f t="shared" si="5"/>
        <v>50.788744364048284</v>
      </c>
      <c r="V10">
        <f t="shared" si="5"/>
        <v>49.691581910272831</v>
      </c>
      <c r="W10">
        <f t="shared" si="5"/>
        <v>48.582860078372001</v>
      </c>
      <c r="X10">
        <f t="shared" si="5"/>
        <v>47.461869272791475</v>
      </c>
      <c r="Y10">
        <f t="shared" si="5"/>
        <v>46.327816398694729</v>
      </c>
      <c r="Z10">
        <f t="shared" si="5"/>
        <v>45.179809805892745</v>
      </c>
      <c r="AA10">
        <f t="shared" si="5"/>
        <v>44.016840461825879</v>
      </c>
      <c r="AB10">
        <f t="shared" si="5"/>
        <v>42.837758110871476</v>
      </c>
      <c r="AC10">
        <f t="shared" si="5"/>
        <v>41.641240656016294</v>
      </c>
      <c r="AD10">
        <f t="shared" si="5"/>
        <v>40.425754205370531</v>
      </c>
      <c r="AE10">
        <f t="shared" si="5"/>
        <v>39.189499985328652</v>
      </c>
      <c r="AF10">
        <f t="shared" si="5"/>
        <v>37.930342322999195</v>
      </c>
      <c r="AG10">
        <f t="shared" si="5"/>
        <v>36.64570856530414</v>
      </c>
      <c r="AH10">
        <f t="shared" si="5"/>
        <v>35.332446008967374</v>
      </c>
      <c r="AI10">
        <f t="shared" si="5"/>
        <v>33.986610363371597</v>
      </c>
      <c r="AJ10">
        <f t="shared" si="5"/>
        <v>32.60313992245441</v>
      </c>
      <c r="AK10">
        <f t="shared" si="5"/>
        <v>31.175327570224109</v>
      </c>
      <c r="AL10">
        <f t="shared" si="5"/>
        <v>29.693907918287689</v>
      </c>
      <c r="AM10">
        <f t="shared" si="5"/>
        <v>28.145337425533334</v>
      </c>
      <c r="AN10">
        <f t="shared" si="5"/>
        <v>26.508139680413471</v>
      </c>
      <c r="AO10">
        <f t="shared" si="5"/>
        <v>24.743574036318591</v>
      </c>
      <c r="AP10">
        <f t="shared" si="5"/>
        <v>22.762499999999999</v>
      </c>
      <c r="AQ10">
        <f t="shared" si="5"/>
        <v>20</v>
      </c>
      <c r="AR10">
        <f t="shared" si="5"/>
        <v>20</v>
      </c>
      <c r="AS10">
        <f t="shared" si="5"/>
        <v>20</v>
      </c>
    </row>
    <row r="11" spans="1:55" x14ac:dyDescent="0.25">
      <c r="I11" t="s">
        <v>76</v>
      </c>
      <c r="J11" t="s">
        <v>53</v>
      </c>
      <c r="M11">
        <f>M10+273.15</f>
        <v>332.36541951944042</v>
      </c>
      <c r="N11">
        <f t="shared" ref="N11:AS11" si="6">N10+273.15</f>
        <v>331.34202843918104</v>
      </c>
      <c r="O11">
        <f t="shared" si="6"/>
        <v>330.31084245777413</v>
      </c>
      <c r="P11">
        <f t="shared" si="6"/>
        <v>329.2715204592788</v>
      </c>
      <c r="Q11">
        <f t="shared" si="6"/>
        <v>328.22369314780849</v>
      </c>
      <c r="R11">
        <f t="shared" si="6"/>
        <v>327.1669595396346</v>
      </c>
      <c r="S11">
        <f t="shared" si="6"/>
        <v>326.10088285985194</v>
      </c>
      <c r="T11">
        <f t="shared" si="6"/>
        <v>325.02498571331</v>
      </c>
      <c r="U11">
        <f t="shared" si="6"/>
        <v>323.93874436404826</v>
      </c>
      <c r="V11">
        <f t="shared" si="6"/>
        <v>322.84158191027279</v>
      </c>
      <c r="W11">
        <f t="shared" si="6"/>
        <v>321.73286007837197</v>
      </c>
      <c r="X11">
        <f t="shared" si="6"/>
        <v>320.61186927279147</v>
      </c>
      <c r="Y11">
        <f t="shared" si="6"/>
        <v>319.4778163986947</v>
      </c>
      <c r="Z11">
        <f t="shared" si="6"/>
        <v>318.32980980589275</v>
      </c>
      <c r="AA11">
        <f t="shared" si="6"/>
        <v>317.16684046182587</v>
      </c>
      <c r="AB11">
        <f t="shared" si="6"/>
        <v>315.98775811087148</v>
      </c>
      <c r="AC11">
        <f t="shared" si="6"/>
        <v>314.79124065601627</v>
      </c>
      <c r="AD11">
        <f t="shared" si="6"/>
        <v>313.57575420537052</v>
      </c>
      <c r="AE11">
        <f t="shared" si="6"/>
        <v>312.33949998532864</v>
      </c>
      <c r="AF11">
        <f t="shared" si="6"/>
        <v>311.08034232299917</v>
      </c>
      <c r="AG11">
        <f t="shared" si="6"/>
        <v>309.7957085653041</v>
      </c>
      <c r="AH11">
        <f t="shared" si="6"/>
        <v>308.48244600896737</v>
      </c>
      <c r="AI11">
        <f t="shared" si="6"/>
        <v>307.13661036337157</v>
      </c>
      <c r="AJ11">
        <f t="shared" si="6"/>
        <v>305.75313992245441</v>
      </c>
      <c r="AK11">
        <f t="shared" si="6"/>
        <v>304.32532757022409</v>
      </c>
      <c r="AL11">
        <f t="shared" si="6"/>
        <v>302.84390791828764</v>
      </c>
      <c r="AM11">
        <f t="shared" si="6"/>
        <v>301.29533742553332</v>
      </c>
      <c r="AN11">
        <f t="shared" si="6"/>
        <v>299.65813968041346</v>
      </c>
      <c r="AO11">
        <f t="shared" si="6"/>
        <v>297.89357403631857</v>
      </c>
      <c r="AP11">
        <f t="shared" si="6"/>
        <v>295.91249999999997</v>
      </c>
      <c r="AQ11">
        <f t="shared" si="6"/>
        <v>293.14999999999998</v>
      </c>
      <c r="AR11">
        <f t="shared" si="6"/>
        <v>293.14999999999998</v>
      </c>
      <c r="AS11">
        <f t="shared" si="6"/>
        <v>293.14999999999998</v>
      </c>
    </row>
    <row r="13" spans="1:55" ht="30" x14ac:dyDescent="0.25">
      <c r="A13" t="s">
        <v>73</v>
      </c>
      <c r="B13">
        <v>0</v>
      </c>
      <c r="C13" t="s">
        <v>43</v>
      </c>
      <c r="E13" s="5" t="s">
        <v>74</v>
      </c>
      <c r="F13">
        <f>B13+273.15</f>
        <v>273.14999999999998</v>
      </c>
      <c r="G13" t="s">
        <v>53</v>
      </c>
      <c r="I13" t="s">
        <v>46</v>
      </c>
      <c r="M13" s="6">
        <f>M$11/(M$11-$F$13)*$B$14</f>
        <v>2.9186657724069462</v>
      </c>
      <c r="N13" s="6">
        <f t="shared" ref="N13:AS13" si="7">N$11/(N$11-$F$13)*$B$14</f>
        <v>2.9608497832044107</v>
      </c>
      <c r="O13" s="6">
        <f t="shared" si="7"/>
        <v>3.0048829004738042</v>
      </c>
      <c r="P13" s="6">
        <f t="shared" si="7"/>
        <v>3.0509007816896414</v>
      </c>
      <c r="Q13" s="6">
        <f t="shared" si="7"/>
        <v>3.0990534805572949</v>
      </c>
      <c r="R13" s="6">
        <f t="shared" si="7"/>
        <v>3.1495074956186762</v>
      </c>
      <c r="S13" s="6">
        <f t="shared" si="7"/>
        <v>3.202448192147048</v>
      </c>
      <c r="T13" s="6">
        <f t="shared" si="7"/>
        <v>3.2580826817954387</v>
      </c>
      <c r="U13" s="6">
        <f t="shared" si="7"/>
        <v>3.3166432676871636</v>
      </c>
      <c r="V13" s="6">
        <f t="shared" si="7"/>
        <v>3.3783915934991851</v>
      </c>
      <c r="W13" s="6">
        <f t="shared" si="7"/>
        <v>3.4436236765573245</v>
      </c>
      <c r="X13" s="6">
        <f t="shared" si="7"/>
        <v>3.5126760613582966</v>
      </c>
      <c r="Y13" s="6">
        <f t="shared" si="7"/>
        <v>3.5859334076449563</v>
      </c>
      <c r="Z13" s="6">
        <f t="shared" si="7"/>
        <v>3.663837935800121</v>
      </c>
      <c r="AA13" s="6">
        <f t="shared" si="7"/>
        <v>3.7469013066302219</v>
      </c>
      <c r="AB13" s="6">
        <f t="shared" si="7"/>
        <v>3.8357197356682664</v>
      </c>
      <c r="AC13" s="6">
        <f t="shared" si="7"/>
        <v>3.9309934709516985</v>
      </c>
      <c r="AD13" s="6">
        <f t="shared" si="7"/>
        <v>4.0335522587511878</v>
      </c>
      <c r="AE13" s="6">
        <f t="shared" si="7"/>
        <v>4.1443891872357295</v>
      </c>
      <c r="AF13" s="6">
        <f t="shared" si="7"/>
        <v>4.2647065146542262</v>
      </c>
      <c r="AG13" s="6">
        <f t="shared" si="7"/>
        <v>4.3959790862518755</v>
      </c>
      <c r="AH13" s="6">
        <f t="shared" si="7"/>
        <v>4.5400443514142967</v>
      </c>
      <c r="AI13" s="6">
        <f t="shared" si="7"/>
        <v>4.6992340713411851</v>
      </c>
      <c r="AJ13" s="6">
        <f t="shared" si="7"/>
        <v>4.8765742544378554</v>
      </c>
      <c r="AK13" s="6">
        <f t="shared" si="7"/>
        <v>5.0761028887363482</v>
      </c>
      <c r="AL13" s="6">
        <f t="shared" si="7"/>
        <v>5.3034054173961609</v>
      </c>
      <c r="AM13" s="6">
        <f t="shared" si="7"/>
        <v>5.5665907675046613</v>
      </c>
      <c r="AN13" s="6">
        <f t="shared" si="7"/>
        <v>5.8782786914673615</v>
      </c>
      <c r="AO13" s="6">
        <f t="shared" si="7"/>
        <v>6.2603994989372502</v>
      </c>
      <c r="AP13" s="6">
        <f t="shared" si="7"/>
        <v>6.7600000000000033</v>
      </c>
      <c r="AQ13" s="6">
        <f t="shared" si="7"/>
        <v>7.6218999999999992</v>
      </c>
      <c r="AR13" s="6">
        <f t="shared" si="7"/>
        <v>7.6218999999999992</v>
      </c>
      <c r="AS13" s="6">
        <f t="shared" si="7"/>
        <v>7.6218999999999992</v>
      </c>
    </row>
    <row r="14" spans="1:55" x14ac:dyDescent="0.25">
      <c r="A14" t="s">
        <v>75</v>
      </c>
      <c r="B14" s="1">
        <v>0.52</v>
      </c>
      <c r="C14" t="s">
        <v>45</v>
      </c>
      <c r="E14" t="s">
        <v>79</v>
      </c>
      <c r="F14">
        <f>K9/K15</f>
        <v>3.7840665733152572</v>
      </c>
      <c r="I14" t="s">
        <v>77</v>
      </c>
      <c r="J14" t="s">
        <v>50</v>
      </c>
      <c r="M14">
        <f>M8/M13</f>
        <v>627.57809394412322</v>
      </c>
      <c r="N14">
        <f t="shared" ref="N14:AS14" si="8">N8/N13</f>
        <v>598.01559525496953</v>
      </c>
      <c r="O14">
        <f t="shared" si="8"/>
        <v>568.93331468936776</v>
      </c>
      <c r="P14">
        <f t="shared" si="8"/>
        <v>540.33931289086797</v>
      </c>
      <c r="Q14">
        <f t="shared" si="8"/>
        <v>512.2419749424115</v>
      </c>
      <c r="R14">
        <f t="shared" si="8"/>
        <v>484.65003519206147</v>
      </c>
      <c r="S14">
        <f t="shared" si="8"/>
        <v>457.57260505852315</v>
      </c>
      <c r="T14">
        <f t="shared" si="8"/>
        <v>431.01920431566339</v>
      </c>
      <c r="U14">
        <f t="shared" si="8"/>
        <v>404.99979646446599</v>
      </c>
      <c r="V14">
        <f t="shared" si="8"/>
        <v>379.52482893995858</v>
      </c>
      <c r="W14">
        <f t="shared" si="8"/>
        <v>354.60527907979571</v>
      </c>
      <c r="X14">
        <f t="shared" si="8"/>
        <v>330.25270701427877</v>
      </c>
      <c r="Y14">
        <f t="shared" si="8"/>
        <v>306.47931694471544</v>
      </c>
      <c r="Z14">
        <f t="shared" si="8"/>
        <v>283.29802868696459</v>
      </c>
      <c r="AA14">
        <f t="shared" si="8"/>
        <v>260.72256191228558</v>
      </c>
      <c r="AB14">
        <f t="shared" si="8"/>
        <v>238.76753628194669</v>
      </c>
      <c r="AC14">
        <f t="shared" si="8"/>
        <v>217.44859174315445</v>
      </c>
      <c r="AD14">
        <f t="shared" si="8"/>
        <v>196.78253478539435</v>
      </c>
      <c r="AE14">
        <f t="shared" si="8"/>
        <v>176.78751869621826</v>
      </c>
      <c r="AF14">
        <f t="shared" si="8"/>
        <v>157.48326921711396</v>
      </c>
      <c r="AG14">
        <f t="shared" si="8"/>
        <v>138.8913721962866</v>
      </c>
      <c r="AH14">
        <f t="shared" si="8"/>
        <v>121.03564814756726</v>
      </c>
      <c r="AI14">
        <f t="shared" si="8"/>
        <v>103.94265246914048</v>
      </c>
      <c r="AJ14">
        <f t="shared" si="8"/>
        <v>87.642364271608628</v>
      </c>
      <c r="AK14">
        <f t="shared" si="8"/>
        <v>72.169171604915476</v>
      </c>
      <c r="AL14">
        <f t="shared" si="8"/>
        <v>57.563350279891715</v>
      </c>
      <c r="AM14">
        <f t="shared" si="8"/>
        <v>43.873429388767427</v>
      </c>
      <c r="AN14">
        <f t="shared" si="8"/>
        <v>31.16032427938303</v>
      </c>
      <c r="AO14">
        <f t="shared" si="8"/>
        <v>19.505578439182639</v>
      </c>
      <c r="AP14">
        <f t="shared" si="8"/>
        <v>9.0320054354393609</v>
      </c>
      <c r="AQ14">
        <f t="shared" si="8"/>
        <v>0</v>
      </c>
      <c r="AR14">
        <f t="shared" si="8"/>
        <v>0</v>
      </c>
      <c r="AS14">
        <f t="shared" si="8"/>
        <v>0</v>
      </c>
    </row>
    <row r="15" spans="1:55" ht="30" customHeight="1" x14ac:dyDescent="0.25">
      <c r="B15" s="1"/>
      <c r="E15" s="5" t="s">
        <v>80</v>
      </c>
      <c r="F15">
        <f>K15</f>
        <v>53084.572108692977</v>
      </c>
      <c r="G15" t="s">
        <v>50</v>
      </c>
      <c r="I15" s="5" t="s">
        <v>78</v>
      </c>
      <c r="J15" t="s">
        <v>50</v>
      </c>
      <c r="K15">
        <f>SUM(M15:BC15)</f>
        <v>53084.572108692977</v>
      </c>
      <c r="M15">
        <f>M14*M4</f>
        <v>364.58223802868991</v>
      </c>
      <c r="N15">
        <f t="shared" ref="N15:AS15" si="9">N14*N4</f>
        <v>347.40834040891178</v>
      </c>
      <c r="O15">
        <f t="shared" si="9"/>
        <v>377.72962105789361</v>
      </c>
      <c r="P15">
        <f t="shared" si="9"/>
        <v>448.43164970131124</v>
      </c>
      <c r="Q15">
        <f t="shared" si="9"/>
        <v>552.64749557635719</v>
      </c>
      <c r="R15">
        <f t="shared" si="9"/>
        <v>643.54352052224328</v>
      </c>
      <c r="S15">
        <f t="shared" si="9"/>
        <v>1329.1002826789825</v>
      </c>
      <c r="T15">
        <f t="shared" si="9"/>
        <v>1430.8242856521979</v>
      </c>
      <c r="U15">
        <f t="shared" si="9"/>
        <v>2151.1191655995417</v>
      </c>
      <c r="V15">
        <f t="shared" si="9"/>
        <v>2992.2197780119741</v>
      </c>
      <c r="W15">
        <f t="shared" si="9"/>
        <v>3855.1935184232761</v>
      </c>
      <c r="X15">
        <f t="shared" si="9"/>
        <v>4193.4117492134164</v>
      </c>
      <c r="Y15">
        <f t="shared" si="9"/>
        <v>4730.9004119744613</v>
      </c>
      <c r="Z15">
        <f t="shared" si="9"/>
        <v>4443.6009139910384</v>
      </c>
      <c r="AA15">
        <f t="shared" si="9"/>
        <v>3829.8483008960116</v>
      </c>
      <c r="AB15">
        <f t="shared" si="9"/>
        <v>3824.3909157965741</v>
      </c>
      <c r="AC15">
        <f t="shared" si="9"/>
        <v>3067.8577010834033</v>
      </c>
      <c r="AD15">
        <f t="shared" si="9"/>
        <v>3298.8883002589487</v>
      </c>
      <c r="AE15">
        <f t="shared" si="9"/>
        <v>2479.5221693397907</v>
      </c>
      <c r="AF15">
        <f t="shared" si="9"/>
        <v>1921.2392357907972</v>
      </c>
      <c r="AG15">
        <f t="shared" si="9"/>
        <v>1671.3713815038727</v>
      </c>
      <c r="AH15">
        <f t="shared" si="9"/>
        <v>1526.8155656353947</v>
      </c>
      <c r="AI15">
        <f t="shared" si="9"/>
        <v>1207.679019695408</v>
      </c>
      <c r="AJ15">
        <f t="shared" si="9"/>
        <v>901.91469008388128</v>
      </c>
      <c r="AK15">
        <f t="shared" si="9"/>
        <v>706.74609623580261</v>
      </c>
      <c r="AL15">
        <f t="shared" si="9"/>
        <v>425.17308080576726</v>
      </c>
      <c r="AM15">
        <f t="shared" si="9"/>
        <v>236.67077338570616</v>
      </c>
      <c r="AN15">
        <f t="shared" si="9"/>
        <v>82.75259808625438</v>
      </c>
      <c r="AO15">
        <f t="shared" si="9"/>
        <v>33.994434366129425</v>
      </c>
      <c r="AP15">
        <f t="shared" si="9"/>
        <v>8.9948748889421744</v>
      </c>
      <c r="AQ15">
        <f t="shared" si="9"/>
        <v>0</v>
      </c>
      <c r="AR15">
        <f t="shared" si="9"/>
        <v>0</v>
      </c>
      <c r="AS15">
        <f t="shared" si="9"/>
        <v>0</v>
      </c>
    </row>
    <row r="16" spans="1:55" x14ac:dyDescent="0.25">
      <c r="B16" s="1"/>
    </row>
    <row r="18" spans="1:45" ht="30" x14ac:dyDescent="0.25">
      <c r="A18" t="s">
        <v>71</v>
      </c>
      <c r="B18" s="1">
        <v>0.9</v>
      </c>
      <c r="C18" t="s">
        <v>45</v>
      </c>
      <c r="E18" s="5" t="s">
        <v>67</v>
      </c>
      <c r="F18">
        <f>$B$4/$B$19/$B$18</f>
        <v>44800</v>
      </c>
      <c r="G18" t="s">
        <v>64</v>
      </c>
      <c r="I18" t="s">
        <v>63</v>
      </c>
      <c r="J18" t="s">
        <v>64</v>
      </c>
      <c r="M18">
        <f>M8/$B$18/$B$19</f>
        <v>407.04237829046741</v>
      </c>
      <c r="N18">
        <f t="shared" ref="N18:AS18" si="10">N8/$B$18/$B$19</f>
        <v>393.47429901411851</v>
      </c>
      <c r="O18">
        <f t="shared" si="10"/>
        <v>379.90621973776956</v>
      </c>
      <c r="P18">
        <f t="shared" si="10"/>
        <v>366.33814046142066</v>
      </c>
      <c r="Q18">
        <f t="shared" si="10"/>
        <v>352.77006118507177</v>
      </c>
      <c r="R18">
        <f t="shared" si="10"/>
        <v>339.20198190872281</v>
      </c>
      <c r="S18">
        <f t="shared" si="10"/>
        <v>325.63390263237392</v>
      </c>
      <c r="T18">
        <f t="shared" si="10"/>
        <v>312.06582335602502</v>
      </c>
      <c r="U18">
        <f t="shared" si="10"/>
        <v>298.49774407967612</v>
      </c>
      <c r="V18">
        <f t="shared" si="10"/>
        <v>284.92966480332723</v>
      </c>
      <c r="W18">
        <f t="shared" si="10"/>
        <v>271.36158552697827</v>
      </c>
      <c r="X18">
        <f t="shared" si="10"/>
        <v>257.79350625062938</v>
      </c>
      <c r="Y18">
        <f t="shared" si="10"/>
        <v>244.22542697428042</v>
      </c>
      <c r="Z18">
        <f t="shared" si="10"/>
        <v>230.65734769793153</v>
      </c>
      <c r="AA18">
        <f t="shared" si="10"/>
        <v>217.08926842158263</v>
      </c>
      <c r="AB18">
        <f t="shared" si="10"/>
        <v>203.52118914523371</v>
      </c>
      <c r="AC18">
        <f t="shared" si="10"/>
        <v>189.95310986888478</v>
      </c>
      <c r="AD18">
        <f t="shared" si="10"/>
        <v>176.38503059253588</v>
      </c>
      <c r="AE18">
        <f t="shared" si="10"/>
        <v>162.81695131618696</v>
      </c>
      <c r="AF18">
        <f t="shared" si="10"/>
        <v>149.24887203983806</v>
      </c>
      <c r="AG18">
        <f t="shared" si="10"/>
        <v>135.68079276348914</v>
      </c>
      <c r="AH18">
        <f t="shared" si="10"/>
        <v>122.11271348714021</v>
      </c>
      <c r="AI18">
        <f t="shared" si="10"/>
        <v>108.54463421079132</v>
      </c>
      <c r="AJ18">
        <f t="shared" si="10"/>
        <v>94.97655493444239</v>
      </c>
      <c r="AK18">
        <f t="shared" si="10"/>
        <v>81.408475658093479</v>
      </c>
      <c r="AL18">
        <f t="shared" si="10"/>
        <v>67.840396381744569</v>
      </c>
      <c r="AM18">
        <f t="shared" si="10"/>
        <v>54.272317105395658</v>
      </c>
      <c r="AN18">
        <f t="shared" si="10"/>
        <v>40.70423782904674</v>
      </c>
      <c r="AO18">
        <f t="shared" si="10"/>
        <v>27.136158552697829</v>
      </c>
      <c r="AP18">
        <f t="shared" si="10"/>
        <v>13.568079276348914</v>
      </c>
      <c r="AQ18">
        <f t="shared" si="10"/>
        <v>0</v>
      </c>
      <c r="AR18">
        <f t="shared" si="10"/>
        <v>0</v>
      </c>
      <c r="AS18">
        <f t="shared" si="10"/>
        <v>0</v>
      </c>
    </row>
    <row r="19" spans="1:45" x14ac:dyDescent="0.25">
      <c r="A19" t="s">
        <v>65</v>
      </c>
      <c r="B19">
        <v>5</v>
      </c>
      <c r="C19" t="s">
        <v>66</v>
      </c>
      <c r="E19" t="s">
        <v>68</v>
      </c>
      <c r="F19">
        <f>F18/$B$20</f>
        <v>68.92307692307692</v>
      </c>
      <c r="G19" t="s">
        <v>72</v>
      </c>
      <c r="I19" t="s">
        <v>67</v>
      </c>
      <c r="J19" t="s">
        <v>64</v>
      </c>
      <c r="K19">
        <f>SUM(M19:BC19)</f>
        <v>44639.012194499679</v>
      </c>
      <c r="M19">
        <f>M18*M4</f>
        <v>236.46526652485761</v>
      </c>
      <c r="N19">
        <f t="shared" ref="N19:AS19" si="11">N18*N4</f>
        <v>228.58309097402903</v>
      </c>
      <c r="O19">
        <f t="shared" si="11"/>
        <v>252.22961762651428</v>
      </c>
      <c r="P19">
        <f t="shared" si="11"/>
        <v>304.0267712462458</v>
      </c>
      <c r="Q19">
        <f t="shared" si="11"/>
        <v>380.59647659715154</v>
      </c>
      <c r="R19">
        <f t="shared" si="11"/>
        <v>450.4100314759192</v>
      </c>
      <c r="S19">
        <f t="shared" si="11"/>
        <v>945.86106609943056</v>
      </c>
      <c r="T19">
        <f t="shared" si="11"/>
        <v>1035.9430723946123</v>
      </c>
      <c r="U19">
        <f t="shared" si="11"/>
        <v>1585.4433107952329</v>
      </c>
      <c r="V19">
        <f t="shared" si="11"/>
        <v>2246.4200319861452</v>
      </c>
      <c r="W19">
        <f t="shared" si="11"/>
        <v>2950.1857061672736</v>
      </c>
      <c r="X19">
        <f t="shared" si="11"/>
        <v>3273.3549037512421</v>
      </c>
      <c r="Y19">
        <f t="shared" si="11"/>
        <v>3769.9319634534454</v>
      </c>
      <c r="Z19">
        <f t="shared" si="11"/>
        <v>3617.9185778303245</v>
      </c>
      <c r="AA19">
        <f t="shared" si="11"/>
        <v>3188.9030228495117</v>
      </c>
      <c r="AB19">
        <f t="shared" si="11"/>
        <v>3259.8426028069675</v>
      </c>
      <c r="AC19">
        <f t="shared" si="11"/>
        <v>2679.939687281721</v>
      </c>
      <c r="AD19">
        <f t="shared" si="11"/>
        <v>2956.9418566394106</v>
      </c>
      <c r="AE19">
        <f t="shared" si="11"/>
        <v>2283.5788595829131</v>
      </c>
      <c r="AF19">
        <f t="shared" si="11"/>
        <v>1820.7825522414046</v>
      </c>
      <c r="AG19">
        <f t="shared" si="11"/>
        <v>1632.7363641002066</v>
      </c>
      <c r="AH19">
        <f t="shared" si="11"/>
        <v>1540.4023076476437</v>
      </c>
      <c r="AI19">
        <f t="shared" si="11"/>
        <v>1261.1480881325742</v>
      </c>
      <c r="AJ19">
        <f t="shared" si="11"/>
        <v>977.38976830274498</v>
      </c>
      <c r="AK19">
        <f t="shared" si="11"/>
        <v>797.22575571237655</v>
      </c>
      <c r="AL19">
        <f t="shared" si="11"/>
        <v>501.08116001696044</v>
      </c>
      <c r="AM19">
        <f t="shared" si="11"/>
        <v>292.76652045934662</v>
      </c>
      <c r="AN19">
        <f t="shared" si="11"/>
        <v>108.09840755422042</v>
      </c>
      <c r="AO19">
        <f t="shared" si="11"/>
        <v>47.293053304971536</v>
      </c>
      <c r="AP19">
        <f t="shared" si="11"/>
        <v>13.512300944277586</v>
      </c>
      <c r="AQ19">
        <f t="shared" si="11"/>
        <v>0</v>
      </c>
      <c r="AR19">
        <f t="shared" si="11"/>
        <v>0</v>
      </c>
      <c r="AS19">
        <f t="shared" si="11"/>
        <v>0</v>
      </c>
    </row>
    <row r="20" spans="1:45" x14ac:dyDescent="0.25">
      <c r="A20" t="s">
        <v>69</v>
      </c>
      <c r="B20">
        <v>650</v>
      </c>
      <c r="C20" t="s">
        <v>70</v>
      </c>
    </row>
    <row r="23" spans="1:45" x14ac:dyDescent="0.25">
      <c r="M23">
        <v>-10</v>
      </c>
      <c r="N23">
        <v>-9</v>
      </c>
      <c r="O23">
        <v>-8</v>
      </c>
      <c r="P23">
        <v>-7</v>
      </c>
      <c r="Q23">
        <v>-6</v>
      </c>
      <c r="R23">
        <v>-5</v>
      </c>
      <c r="S23">
        <v>-4</v>
      </c>
      <c r="T23">
        <v>-3</v>
      </c>
      <c r="U23">
        <v>-2</v>
      </c>
      <c r="V23">
        <v>-1</v>
      </c>
      <c r="W23">
        <v>0</v>
      </c>
      <c r="X23">
        <v>1</v>
      </c>
      <c r="Y23">
        <v>2</v>
      </c>
      <c r="Z23">
        <v>3</v>
      </c>
      <c r="AA23">
        <v>4</v>
      </c>
      <c r="AB23">
        <v>5</v>
      </c>
      <c r="AC23">
        <v>6</v>
      </c>
      <c r="AD23">
        <v>7</v>
      </c>
      <c r="AE23">
        <v>8</v>
      </c>
      <c r="AF23">
        <v>9</v>
      </c>
      <c r="AG23">
        <v>10</v>
      </c>
      <c r="AH23">
        <v>11</v>
      </c>
      <c r="AI23">
        <v>12</v>
      </c>
      <c r="AJ23">
        <v>13</v>
      </c>
      <c r="AK23">
        <v>14</v>
      </c>
      <c r="AL23">
        <v>15</v>
      </c>
      <c r="AM23">
        <v>16</v>
      </c>
      <c r="AN23">
        <v>17</v>
      </c>
      <c r="AO23">
        <v>18</v>
      </c>
      <c r="AP23">
        <v>19</v>
      </c>
      <c r="AQ23">
        <v>20</v>
      </c>
      <c r="AR23">
        <v>21</v>
      </c>
      <c r="AS23">
        <v>22</v>
      </c>
    </row>
    <row r="26" spans="1:45" x14ac:dyDescent="0.25">
      <c r="M26" s="1">
        <f>M9/$B$4</f>
        <v>5.2782425563584288E-3</v>
      </c>
      <c r="N26" s="1">
        <f t="shared" ref="N26:AS26" si="12">N9/$B$4</f>
        <v>5.1023011378131481E-3</v>
      </c>
      <c r="O26" s="1">
        <f t="shared" si="12"/>
        <v>5.6301253934489797E-3</v>
      </c>
      <c r="P26" s="1">
        <f t="shared" si="12"/>
        <v>6.7863118581751288E-3</v>
      </c>
      <c r="Q26" s="1">
        <f t="shared" si="12"/>
        <v>8.4954570669007034E-3</v>
      </c>
      <c r="R26" s="1">
        <f t="shared" si="12"/>
        <v>1.0053795345444625E-2</v>
      </c>
      <c r="S26" s="1">
        <f t="shared" si="12"/>
        <v>2.1112970225433715E-2</v>
      </c>
      <c r="T26" s="1">
        <f t="shared" si="12"/>
        <v>2.31237292945226E-2</v>
      </c>
      <c r="U26" s="1">
        <f t="shared" si="12"/>
        <v>3.5389359615965017E-2</v>
      </c>
      <c r="V26" s="1">
        <f t="shared" si="12"/>
        <v>5.0143304285405019E-2</v>
      </c>
      <c r="W26" s="1">
        <f t="shared" si="12"/>
        <v>6.5852359512662356E-2</v>
      </c>
      <c r="X26" s="1">
        <f t="shared" si="12"/>
        <v>7.3065957673018794E-2</v>
      </c>
      <c r="Y26" s="1">
        <f t="shared" si="12"/>
        <v>8.415026704137156E-2</v>
      </c>
      <c r="Z26" s="1">
        <f t="shared" si="12"/>
        <v>8.0757111112284022E-2</v>
      </c>
      <c r="AA26" s="1">
        <f t="shared" si="12"/>
        <v>7.1180871045748023E-2</v>
      </c>
      <c r="AB26" s="1">
        <f t="shared" si="12"/>
        <v>7.2764343812655535E-2</v>
      </c>
      <c r="AC26" s="1">
        <f t="shared" si="12"/>
        <v>5.9820082305395567E-2</v>
      </c>
      <c r="AD26" s="1">
        <f t="shared" si="12"/>
        <v>6.6003166442843986E-2</v>
      </c>
      <c r="AE26" s="1">
        <f t="shared" si="12"/>
        <v>5.0972742401404307E-2</v>
      </c>
      <c r="AF26" s="1">
        <f t="shared" si="12"/>
        <v>4.0642467683959925E-2</v>
      </c>
      <c r="AG26" s="1">
        <f t="shared" si="12"/>
        <v>3.6445008127236757E-2</v>
      </c>
      <c r="AH26" s="1">
        <f t="shared" si="12"/>
        <v>3.4383980081420622E-2</v>
      </c>
      <c r="AI26" s="1">
        <f t="shared" si="12"/>
        <v>2.8150626967244959E-2</v>
      </c>
      <c r="AJ26" s="1">
        <f t="shared" si="12"/>
        <v>2.1816735899614845E-2</v>
      </c>
      <c r="AK26" s="1">
        <f t="shared" si="12"/>
        <v>1.7795217761436978E-2</v>
      </c>
      <c r="AL26" s="1">
        <f t="shared" si="12"/>
        <v>1.1184847321807152E-2</v>
      </c>
      <c r="AM26" s="1">
        <f t="shared" si="12"/>
        <v>6.5349669745389874E-3</v>
      </c>
      <c r="AN26" s="1">
        <f t="shared" si="12"/>
        <v>2.4129108829067055E-3</v>
      </c>
      <c r="AO26" s="1">
        <f t="shared" si="12"/>
        <v>1.055648511271686E-3</v>
      </c>
      <c r="AP26" s="1">
        <f t="shared" si="12"/>
        <v>3.0161386036333895E-4</v>
      </c>
      <c r="AQ26" s="1">
        <f t="shared" si="12"/>
        <v>0</v>
      </c>
      <c r="AR26" s="1">
        <f t="shared" si="12"/>
        <v>0</v>
      </c>
      <c r="AS26" s="1">
        <f t="shared" si="12"/>
        <v>0</v>
      </c>
    </row>
    <row r="37" spans="1:21" x14ac:dyDescent="0.25">
      <c r="J37" s="12">
        <v>330</v>
      </c>
      <c r="K37" s="12">
        <v>225</v>
      </c>
      <c r="L37" s="12">
        <v>310</v>
      </c>
      <c r="M37" s="12">
        <v>265</v>
      </c>
      <c r="P37" s="12">
        <v>180</v>
      </c>
      <c r="Q37" s="12">
        <v>84</v>
      </c>
      <c r="R37" s="12">
        <v>84</v>
      </c>
      <c r="S37" s="12">
        <v>150</v>
      </c>
      <c r="T37" s="12">
        <v>225</v>
      </c>
      <c r="U37" s="12">
        <v>220</v>
      </c>
    </row>
    <row r="38" spans="1:21" ht="30" x14ac:dyDescent="0.25">
      <c r="I38" s="12" t="s">
        <v>97</v>
      </c>
      <c r="J38" s="12">
        <v>2</v>
      </c>
      <c r="K38" s="12">
        <v>1</v>
      </c>
      <c r="L38" s="12">
        <v>1</v>
      </c>
      <c r="M38" s="12">
        <v>1</v>
      </c>
      <c r="O38" s="12" t="s">
        <v>97</v>
      </c>
      <c r="P38" s="12">
        <v>1</v>
      </c>
      <c r="Q38" s="12">
        <v>2</v>
      </c>
      <c r="R38" s="12">
        <v>2</v>
      </c>
      <c r="S38" s="12">
        <v>1</v>
      </c>
      <c r="T38" s="12">
        <v>1</v>
      </c>
      <c r="U38" s="12">
        <v>1</v>
      </c>
    </row>
    <row r="39" spans="1:21" ht="30" x14ac:dyDescent="0.25">
      <c r="I39" s="12" t="s">
        <v>98</v>
      </c>
      <c r="J39" s="12">
        <v>10.3</v>
      </c>
      <c r="K39" s="12">
        <v>8.6999999999999993</v>
      </c>
      <c r="L39" s="12">
        <v>11</v>
      </c>
      <c r="M39" s="12">
        <v>10.9</v>
      </c>
      <c r="O39" s="12" t="s">
        <v>98</v>
      </c>
      <c r="P39" s="12">
        <v>7.4</v>
      </c>
      <c r="Q39" s="12">
        <v>8.4</v>
      </c>
      <c r="R39" s="12">
        <v>8.4</v>
      </c>
      <c r="S39" s="12">
        <v>8.1</v>
      </c>
      <c r="T39" s="12">
        <v>8</v>
      </c>
      <c r="U39" s="12">
        <v>7</v>
      </c>
    </row>
    <row r="40" spans="1:21" x14ac:dyDescent="0.25">
      <c r="J40">
        <f>J39/J37*1000</f>
        <v>31.212121212121215</v>
      </c>
      <c r="K40">
        <f t="shared" ref="K40:M40" si="13">K39/K37*1000</f>
        <v>38.666666666666664</v>
      </c>
      <c r="L40">
        <f t="shared" si="13"/>
        <v>35.483870967741936</v>
      </c>
      <c r="M40">
        <f t="shared" si="13"/>
        <v>41.132075471698116</v>
      </c>
      <c r="P40">
        <f>P39/P37/P38*1000</f>
        <v>41.111111111111114</v>
      </c>
      <c r="Q40">
        <f t="shared" ref="Q40:U40" si="14">Q39/Q37/Q38*1000</f>
        <v>50</v>
      </c>
      <c r="R40">
        <f t="shared" si="14"/>
        <v>50</v>
      </c>
      <c r="S40">
        <f t="shared" si="14"/>
        <v>54</v>
      </c>
      <c r="T40">
        <f t="shared" si="14"/>
        <v>35.555555555555557</v>
      </c>
      <c r="U40">
        <f t="shared" si="14"/>
        <v>31.818181818181817</v>
      </c>
    </row>
    <row r="42" spans="1:21" x14ac:dyDescent="0.25">
      <c r="A42">
        <v>1.65</v>
      </c>
      <c r="B42">
        <v>1.6</v>
      </c>
      <c r="C42">
        <v>1.5</v>
      </c>
      <c r="D42">
        <v>1.4</v>
      </c>
      <c r="E42">
        <v>1.3</v>
      </c>
    </row>
    <row r="43" spans="1:21" x14ac:dyDescent="0.25">
      <c r="A43">
        <v>3.587721705544979</v>
      </c>
      <c r="B43">
        <v>3.6477384754417104</v>
      </c>
      <c r="C43">
        <v>3.7751691137706698</v>
      </c>
      <c r="D43">
        <v>3.9135200818437057</v>
      </c>
      <c r="E43">
        <v>4.0642594834946708</v>
      </c>
    </row>
    <row r="44" spans="1:21" x14ac:dyDescent="0.25">
      <c r="A44">
        <v>55989.725893395429</v>
      </c>
      <c r="B44">
        <v>55068.518817244483</v>
      </c>
      <c r="C44">
        <v>53209.683810591567</v>
      </c>
      <c r="D44">
        <v>51328.612265767057</v>
      </c>
      <c r="E44">
        <v>49424.884334039823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Kaltes Jahr (2013)</vt:lpstr>
      <vt:lpstr>Durchschnittliches Jahr</vt:lpstr>
      <vt:lpstr>Warmes Jahr (2014)</vt:lpstr>
      <vt:lpstr>version_fuer_anhang</vt:lpstr>
      <vt:lpstr>Schmierzettel Diagramme</vt:lpstr>
      <vt:lpstr>schmierzettel-luftwp</vt:lpstr>
      <vt:lpstr>schmierzettel</vt:lpstr>
      <vt:lpstr>version_fuer_anhang!Druckbereich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</dc:creator>
  <cp:lastModifiedBy>Corvin Sydow</cp:lastModifiedBy>
  <cp:lastPrinted>2022-11-30T21:14:42Z</cp:lastPrinted>
  <dcterms:created xsi:type="dcterms:W3CDTF">2015-06-05T18:19:34Z</dcterms:created>
  <dcterms:modified xsi:type="dcterms:W3CDTF">2022-12-02T01:41:26Z</dcterms:modified>
</cp:coreProperties>
</file>