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0" yWindow="-225" windowWidth="10950" windowHeight="10725" tabRatio="866"/>
  </bookViews>
  <sheets>
    <sheet name="Specification" sheetId="1" r:id="rId1"/>
    <sheet name="Tests" sheetId="4" r:id="rId2"/>
    <sheet name="Step 1" sheetId="2" r:id="rId3"/>
    <sheet name="Step 2" sheetId="3" r:id="rId4"/>
    <sheet name="Step 3" sheetId="5" r:id="rId5"/>
    <sheet name="Step 4" sheetId="6" r:id="rId6"/>
    <sheet name="Step 5" sheetId="7" r:id="rId7"/>
    <sheet name="Step 6" sheetId="8" r:id="rId8"/>
    <sheet name="Step 7" sheetId="9" r:id="rId9"/>
    <sheet name="Step 8" sheetId="10" r:id="rId10"/>
    <sheet name="Step 9" sheetId="11" r:id="rId11"/>
  </sheets>
  <calcPr calcId="125725"/>
  <fileRecoveryPr repairLoad="1"/>
</workbook>
</file>

<file path=xl/calcChain.xml><?xml version="1.0" encoding="utf-8"?>
<calcChain xmlns="http://schemas.openxmlformats.org/spreadsheetml/2006/main">
  <c r="B2" i="4"/>
  <c r="E2"/>
  <c r="B9" i="1" l="1"/>
  <c r="B31"/>
  <c r="B30"/>
  <c r="B16"/>
  <c r="B29"/>
  <c r="B3" i="10"/>
  <c r="B28" i="1"/>
  <c r="D13" s="1"/>
  <c r="B2" i="10"/>
  <c r="F9" i="1"/>
  <c r="D12" l="1"/>
  <c r="D16" s="1"/>
  <c r="E6" i="4"/>
  <c r="B6"/>
  <c r="B2" i="9"/>
  <c r="B26" i="1"/>
  <c r="B2" i="8"/>
  <c r="B25" i="1"/>
  <c r="B24"/>
  <c r="B2" i="6"/>
  <c r="B23" i="1"/>
  <c r="B2" i="5" l="1"/>
  <c r="B5" s="1"/>
  <c r="B22" i="1"/>
  <c r="E20" i="4"/>
  <c r="E4"/>
  <c r="E29"/>
  <c r="E30" s="1"/>
  <c r="E22"/>
  <c r="E24" s="1"/>
  <c r="E13"/>
  <c r="B29"/>
  <c r="B30" s="1"/>
  <c r="B22"/>
  <c r="B24" s="1"/>
  <c r="B13"/>
  <c r="B8"/>
  <c r="B7" s="1"/>
  <c r="C7" s="1"/>
  <c r="B20"/>
  <c r="B4"/>
  <c r="B21" i="1"/>
  <c r="B20"/>
  <c r="B15"/>
  <c r="B7" s="1"/>
  <c r="B10"/>
  <c r="B5"/>
  <c r="D7" l="1"/>
  <c r="B2" i="3" s="1"/>
  <c r="B4" i="5"/>
  <c r="D9" i="1"/>
  <c r="D8" s="1"/>
  <c r="B14" i="4"/>
  <c r="B5" s="1"/>
  <c r="B23"/>
  <c r="F23"/>
  <c r="B4" i="2"/>
  <c r="E21" i="4"/>
  <c r="B21"/>
  <c r="E14"/>
  <c r="D6" i="1" l="1"/>
  <c r="B3" i="6" s="1"/>
  <c r="B4" s="1"/>
  <c r="C23" i="4"/>
  <c r="B3" i="8"/>
  <c r="B6"/>
  <c r="B7" s="1"/>
  <c r="B3" i="9"/>
  <c r="D5" s="1"/>
  <c r="E8" i="4"/>
  <c r="E5"/>
  <c r="B2" i="7" l="1"/>
  <c r="D11" i="1" s="1"/>
  <c r="D2" i="6"/>
  <c r="B9" i="4" s="1"/>
  <c r="F7"/>
  <c r="E25" l="1"/>
  <c r="B25"/>
  <c r="E26"/>
  <c r="D5" i="7"/>
  <c r="C25" i="1" s="1"/>
  <c r="E9" i="4"/>
  <c r="B10"/>
  <c r="B26"/>
  <c r="D10" i="1"/>
  <c r="E10" i="4"/>
  <c r="B3" i="7"/>
  <c r="B4" s="1"/>
</calcChain>
</file>

<file path=xl/sharedStrings.xml><?xml version="1.0" encoding="utf-8"?>
<sst xmlns="http://schemas.openxmlformats.org/spreadsheetml/2006/main" count="232" uniqueCount="149">
  <si>
    <t>Nominal input voltage:</t>
  </si>
  <si>
    <t>Maximum input voltage:</t>
  </si>
  <si>
    <t>Switching frequency (at nominal Vin, Vo):</t>
  </si>
  <si>
    <t>Average LED current:</t>
  </si>
  <si>
    <t>Inductor current ripple:</t>
  </si>
  <si>
    <t>LED current ripple:</t>
  </si>
  <si>
    <t>Input voltage ripple:</t>
  </si>
  <si>
    <t>UVLO Vhys:</t>
  </si>
  <si>
    <t>UVLO Vturn on:</t>
  </si>
  <si>
    <t>Expected efficiency:</t>
  </si>
  <si>
    <t>LED dynamic resistance:</t>
  </si>
  <si>
    <t>toff</t>
  </si>
  <si>
    <t>ideal</t>
  </si>
  <si>
    <t>notes</t>
  </si>
  <si>
    <t>approx 50% of led current</t>
  </si>
  <si>
    <t>5-20% of Iled</t>
  </si>
  <si>
    <t>Assume Coff</t>
  </si>
  <si>
    <t>chosen (could choose toff)</t>
  </si>
  <si>
    <t>Roff</t>
  </si>
  <si>
    <t>D nominal:</t>
  </si>
  <si>
    <t>470pF to 1nF</t>
  </si>
  <si>
    <t>actual</t>
  </si>
  <si>
    <t>limit max</t>
  </si>
  <si>
    <t>limit min</t>
  </si>
  <si>
    <t>na</t>
  </si>
  <si>
    <t>calc'd</t>
  </si>
  <si>
    <t>chosen</t>
  </si>
  <si>
    <t>Chosen Components!</t>
  </si>
  <si>
    <t>Coff</t>
  </si>
  <si>
    <t>Step 1 nominal switching frequency:</t>
  </si>
  <si>
    <t>2. Inductor ripple current</t>
  </si>
  <si>
    <t>L1</t>
  </si>
  <si>
    <t>Chosen</t>
  </si>
  <si>
    <t>Input Voltage:</t>
  </si>
  <si>
    <t>Ouput Voltage:</t>
  </si>
  <si>
    <t>D:</t>
  </si>
  <si>
    <t>Maximum Out Current, Max input Voltage:</t>
  </si>
  <si>
    <t>Minimum Out Current, Max input Voltage:</t>
  </si>
  <si>
    <t>Maximum Out Current, Minimun input Voltage:</t>
  </si>
  <si>
    <t>Minimum Out Current, Minimun input Voltage:</t>
  </si>
  <si>
    <t>3. Average LED current</t>
  </si>
  <si>
    <t>Nominal (maximum) output:</t>
  </si>
  <si>
    <t>Average (maximum) LED current:</t>
  </si>
  <si>
    <t>I L-MAX</t>
  </si>
  <si>
    <t>2-10% of vin</t>
  </si>
  <si>
    <t>Rsns</t>
  </si>
  <si>
    <t>Assume Vadj</t>
  </si>
  <si>
    <t>assumed</t>
  </si>
  <si>
    <t>Ideal</t>
  </si>
  <si>
    <t>Rns</t>
  </si>
  <si>
    <t>4. Output Capacitance</t>
  </si>
  <si>
    <t>ton</t>
  </si>
  <si>
    <t>Zc</t>
  </si>
  <si>
    <t>calcd</t>
  </si>
  <si>
    <t>Cout min</t>
  </si>
  <si>
    <t>1.75 factor</t>
  </si>
  <si>
    <t>Cout</t>
  </si>
  <si>
    <t>ohm</t>
  </si>
  <si>
    <t>henry</t>
  </si>
  <si>
    <t>farrads</t>
  </si>
  <si>
    <t>5. Input Capacitance</t>
  </si>
  <si>
    <t>Cin min</t>
  </si>
  <si>
    <t>Cin</t>
  </si>
  <si>
    <t>factor of 2</t>
  </si>
  <si>
    <t>Chosen/actual</t>
  </si>
  <si>
    <t>Input current rms</t>
  </si>
  <si>
    <t>amps</t>
  </si>
  <si>
    <t>Input rms rating</t>
  </si>
  <si>
    <t>6. PFET</t>
  </si>
  <si>
    <t>Voltage rating</t>
  </si>
  <si>
    <t>Voltage rating min</t>
  </si>
  <si>
    <t>Current rating</t>
  </si>
  <si>
    <t>Rdson</t>
  </si>
  <si>
    <t>Qg</t>
  </si>
  <si>
    <t>RMS current</t>
  </si>
  <si>
    <t>Power dissipated</t>
  </si>
  <si>
    <t>&lt;30nC</t>
  </si>
  <si>
    <t>Mosfet Options</t>
  </si>
  <si>
    <t>Vds</t>
  </si>
  <si>
    <t>Current</t>
  </si>
  <si>
    <t>Gate charge</t>
  </si>
  <si>
    <t>Switch on</t>
  </si>
  <si>
    <t>Switch off</t>
  </si>
  <si>
    <t>RDS on</t>
  </si>
  <si>
    <t>ZXMP7A17</t>
  </si>
  <si>
    <t>IRF9335PBF</t>
  </si>
  <si>
    <t>IRLML9301TRPBF</t>
  </si>
  <si>
    <t>price</t>
  </si>
  <si>
    <t>IRLML9303TRPBF</t>
  </si>
  <si>
    <t>ZXMP10A17E6TA</t>
  </si>
  <si>
    <t>ZXMP10A17GTA</t>
  </si>
  <si>
    <t>ZXMP6A13GTA</t>
  </si>
  <si>
    <t>FDC658AP</t>
  </si>
  <si>
    <t>**</t>
  </si>
  <si>
    <t>DMP4051LK3-13</t>
  </si>
  <si>
    <t>DMP3098L-7</t>
  </si>
  <si>
    <t>*</t>
  </si>
  <si>
    <t>not sure if suitable for DC-DC converter use</t>
  </si>
  <si>
    <t>rise time</t>
  </si>
  <si>
    <t>fall time</t>
  </si>
  <si>
    <t>crap</t>
  </si>
  <si>
    <t>Q1</t>
  </si>
  <si>
    <t>7. Diode</t>
  </si>
  <si>
    <t>Spec</t>
  </si>
  <si>
    <t>considered</t>
  </si>
  <si>
    <t>vf</t>
  </si>
  <si>
    <t>current</t>
  </si>
  <si>
    <t>max reverse</t>
  </si>
  <si>
    <t>Power</t>
  </si>
  <si>
    <t>Vf</t>
  </si>
  <si>
    <t>Many available, this seems reasonable</t>
  </si>
  <si>
    <t>D1</t>
  </si>
  <si>
    <t>many</t>
  </si>
  <si>
    <t>Vadj:</t>
  </si>
  <si>
    <t>8. UVLO</t>
  </si>
  <si>
    <t>Ruv2</t>
  </si>
  <si>
    <t>Ruv 1</t>
  </si>
  <si>
    <t>Ruv1</t>
  </si>
  <si>
    <t>UVLO Vturn off:</t>
  </si>
  <si>
    <t>9. current adjust method</t>
  </si>
  <si>
    <t>RC filter used, as advised</t>
  </si>
  <si>
    <t>Rf2</t>
  </si>
  <si>
    <t>Cf2</t>
  </si>
  <si>
    <t>RF2</t>
  </si>
  <si>
    <t>CF2</t>
  </si>
  <si>
    <t>18.5-1=17.5 is a LOW turn off</t>
  </si>
  <si>
    <t>1495228 £0.68</t>
  </si>
  <si>
    <t>Farnell</t>
  </si>
  <si>
    <t>Designator</t>
  </si>
  <si>
    <t>R?</t>
  </si>
  <si>
    <t>C?</t>
  </si>
  <si>
    <t>L?</t>
  </si>
  <si>
    <t>Q?</t>
  </si>
  <si>
    <t>D?</t>
  </si>
  <si>
    <t>Cf</t>
  </si>
  <si>
    <t>1717948 £069</t>
  </si>
  <si>
    <t>Ceramic have low ESR and small size</t>
  </si>
  <si>
    <t>chose &gt;2A rating to allow some room. SRF &gt;&gt;1MHz</t>
  </si>
  <si>
    <t>2082593 £1.75</t>
  </si>
  <si>
    <t>this component has low stock count unfortunately, BUT it is one of the few with a specified SRF. The other 12uH inductors by Wuerth should drop in too (Farnell 2082606, 2082693)</t>
  </si>
  <si>
    <t>&gt;7V rating</t>
  </si>
  <si>
    <t>1735537 £2.18 *2</t>
  </si>
  <si>
    <t>these are fine for temp and rms, but derate by 40% at 25V. However, we have spec'd a pretty small input ripple, so this should be fine</t>
  </si>
  <si>
    <t>1467550 £0.21</t>
  </si>
  <si>
    <t>?1907508 £0.22?</t>
  </si>
  <si>
    <t>this would work well as the same 1uf for the Vcc cap cf</t>
  </si>
  <si>
    <t>old selection:</t>
  </si>
  <si>
    <t>2082630 £1.58</t>
  </si>
  <si>
    <t>1782825 £0.30</t>
  </si>
</sst>
</file>

<file path=xl/styles.xml><?xml version="1.0" encoding="utf-8"?>
<styleSheet xmlns="http://schemas.openxmlformats.org/spreadsheetml/2006/main">
  <numFmts count="2">
    <numFmt numFmtId="6" formatCode="&quot;£&quot;#,##0;[Red]\-&quot;£&quot;#,##0"/>
    <numFmt numFmtId="8" formatCode="&quot;£&quot;#,##0.00;[Red]\-&quot;£&quot;#,##0.00"/>
  </numFmts>
  <fonts count="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333333"/>
      <name val="Arial"/>
      <family val="2"/>
    </font>
    <font>
      <b/>
      <i/>
      <u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3" borderId="0" xfId="0" applyNumberFormat="1" applyFill="1"/>
    <xf numFmtId="0" fontId="0" fillId="3" borderId="0" xfId="0" applyFill="1"/>
    <xf numFmtId="0" fontId="1" fillId="3" borderId="0" xfId="0" applyFont="1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7" borderId="0" xfId="0" applyFill="1"/>
    <xf numFmtId="11" fontId="0" fillId="7" borderId="0" xfId="0" applyNumberFormat="1" applyFill="1"/>
    <xf numFmtId="0" fontId="0" fillId="8" borderId="0" xfId="0" applyFill="1"/>
    <xf numFmtId="11" fontId="0" fillId="8" borderId="0" xfId="0" applyNumberFormat="1" applyFill="1"/>
    <xf numFmtId="0" fontId="0" fillId="9" borderId="0" xfId="0" applyFill="1"/>
    <xf numFmtId="11" fontId="0" fillId="2" borderId="0" xfId="0" applyNumberFormat="1" applyFill="1"/>
    <xf numFmtId="11" fontId="0" fillId="5" borderId="0" xfId="0" applyNumberFormat="1" applyFill="1"/>
    <xf numFmtId="0" fontId="0" fillId="0" borderId="0" xfId="0" applyAlignment="1">
      <alignment wrapText="1"/>
    </xf>
    <xf numFmtId="0" fontId="3" fillId="0" borderId="0" xfId="0" applyFont="1"/>
    <xf numFmtId="8" fontId="0" fillId="0" borderId="0" xfId="0" applyNumberFormat="1"/>
    <xf numFmtId="6" fontId="0" fillId="0" borderId="0" xfId="0" applyNumberFormat="1"/>
    <xf numFmtId="0" fontId="3" fillId="3" borderId="0" xfId="0" applyFont="1" applyFill="1"/>
    <xf numFmtId="8" fontId="0" fillId="3" borderId="0" xfId="0" applyNumberFormat="1" applyFill="1"/>
    <xf numFmtId="0" fontId="0" fillId="10" borderId="0" xfId="0" applyFill="1"/>
    <xf numFmtId="0" fontId="0" fillId="11" borderId="0" xfId="0" applyFill="1"/>
    <xf numFmtId="0" fontId="2" fillId="6" borderId="0" xfId="0" applyFont="1" applyFill="1"/>
    <xf numFmtId="0" fontId="0" fillId="12" borderId="0" xfId="0" applyFill="1"/>
    <xf numFmtId="11" fontId="0" fillId="12" borderId="0" xfId="0" applyNumberFormat="1" applyFill="1"/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7</xdr:row>
      <xdr:rowOff>9525</xdr:rowOff>
    </xdr:from>
    <xdr:to>
      <xdr:col>24</xdr:col>
      <xdr:colOff>57150</xdr:colOff>
      <xdr:row>41</xdr:row>
      <xdr:rowOff>152400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38987" t="37947"/>
        <a:stretch>
          <a:fillRect/>
        </a:stretch>
      </xdr:blipFill>
      <xdr:spPr bwMode="auto">
        <a:xfrm>
          <a:off x="9525" y="1343025"/>
          <a:ext cx="15249525" cy="66198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2"/>
  <sheetViews>
    <sheetView tabSelected="1" zoomScaleNormal="100" workbookViewId="0">
      <selection activeCell="F22" sqref="F22"/>
    </sheetView>
  </sheetViews>
  <sheetFormatPr defaultRowHeight="15"/>
  <cols>
    <col min="1" max="1" width="37.85546875" customWidth="1"/>
    <col min="2" max="2" width="13.28515625" customWidth="1"/>
    <col min="3" max="3" width="27.42578125" customWidth="1"/>
    <col min="4" max="4" width="15.42578125" customWidth="1"/>
    <col min="5" max="5" width="14.5703125" customWidth="1"/>
    <col min="6" max="6" width="15" customWidth="1"/>
    <col min="9" max="9" width="12.85546875" customWidth="1"/>
  </cols>
  <sheetData>
    <row r="1" spans="1:6">
      <c r="B1" t="s">
        <v>12</v>
      </c>
      <c r="C1" t="s">
        <v>13</v>
      </c>
      <c r="D1" t="s">
        <v>21</v>
      </c>
      <c r="E1" t="s">
        <v>22</v>
      </c>
      <c r="F1" t="s">
        <v>23</v>
      </c>
    </row>
    <row r="2" spans="1:6">
      <c r="A2" t="s">
        <v>0</v>
      </c>
      <c r="B2">
        <v>18.899999999999999</v>
      </c>
      <c r="D2" t="s">
        <v>24</v>
      </c>
    </row>
    <row r="3" spans="1:6">
      <c r="A3" t="s">
        <v>1</v>
      </c>
      <c r="B3">
        <v>21</v>
      </c>
      <c r="D3" t="s">
        <v>24</v>
      </c>
    </row>
    <row r="4" spans="1:6">
      <c r="A4" t="s">
        <v>41</v>
      </c>
      <c r="B4">
        <v>9.6999999999999993</v>
      </c>
      <c r="D4" t="s">
        <v>24</v>
      </c>
    </row>
    <row r="5" spans="1:6">
      <c r="A5" t="s">
        <v>10</v>
      </c>
      <c r="B5">
        <f>2.6/2</f>
        <v>1.3</v>
      </c>
      <c r="D5" t="s">
        <v>24</v>
      </c>
    </row>
    <row r="6" spans="1:6">
      <c r="A6" t="s">
        <v>2</v>
      </c>
      <c r="B6" s="1">
        <v>1000000</v>
      </c>
      <c r="C6" t="s">
        <v>17</v>
      </c>
      <c r="D6">
        <f>(1-B15)/D7</f>
        <v>789834.54664733401</v>
      </c>
      <c r="F6" s="6"/>
    </row>
    <row r="7" spans="1:6">
      <c r="A7" t="s">
        <v>11</v>
      </c>
      <c r="B7" s="1">
        <f>(1-B15)*(1/B6)</f>
        <v>4.2974720752498528E-7</v>
      </c>
      <c r="D7">
        <f>-(B20+0.00000000002)*B21*LN(1-(1.24/B4))</f>
        <v>5.4409775990321435E-7</v>
      </c>
      <c r="E7" s="1">
        <v>2.9999999999999997E-4</v>
      </c>
    </row>
    <row r="8" spans="1:6">
      <c r="A8" t="s">
        <v>42</v>
      </c>
      <c r="B8">
        <v>1.5</v>
      </c>
      <c r="D8" s="1">
        <f>(1.24/(5*B23))-D9/2</f>
        <v>1.5143817362335881</v>
      </c>
    </row>
    <row r="9" spans="1:6">
      <c r="A9" t="s">
        <v>4</v>
      </c>
      <c r="B9">
        <f>0.25*B8</f>
        <v>0.375</v>
      </c>
      <c r="C9" t="s">
        <v>14</v>
      </c>
      <c r="D9" s="1">
        <f>(B4*B7)/B22</f>
        <v>0.27790319419949044</v>
      </c>
      <c r="F9">
        <f>0.024/'Step 3'!D4</f>
        <v>0.16</v>
      </c>
    </row>
    <row r="10" spans="1:6">
      <c r="A10" t="s">
        <v>5</v>
      </c>
      <c r="B10">
        <f>0.05*B8</f>
        <v>7.5000000000000011E-2</v>
      </c>
      <c r="C10" t="s">
        <v>15</v>
      </c>
      <c r="D10">
        <f>D9/((B5/'Step 4'!D2)-1)</f>
        <v>5.0977569600078813E-2</v>
      </c>
    </row>
    <row r="11" spans="1:6">
      <c r="A11" t="s">
        <v>6</v>
      </c>
      <c r="B11">
        <v>0.1</v>
      </c>
      <c r="C11" t="s">
        <v>44</v>
      </c>
      <c r="D11" s="1">
        <f>(D8*'Step 5'!$B$2)/B25</f>
        <v>6.074270854334584E-2</v>
      </c>
    </row>
    <row r="12" spans="1:6" ht="18.75">
      <c r="A12" s="27" t="s">
        <v>8</v>
      </c>
      <c r="B12">
        <v>11.5</v>
      </c>
      <c r="D12">
        <f>(1.24*(B28+B29))/B29</f>
        <v>11.573333333333334</v>
      </c>
    </row>
    <row r="13" spans="1:6">
      <c r="A13" t="s">
        <v>7</v>
      </c>
      <c r="B13">
        <v>0.3</v>
      </c>
      <c r="C13" t="s">
        <v>125</v>
      </c>
      <c r="D13">
        <f>0.000022*B28</f>
        <v>0.33</v>
      </c>
    </row>
    <row r="14" spans="1:6">
      <c r="A14" t="s">
        <v>9</v>
      </c>
      <c r="B14">
        <v>0.9</v>
      </c>
    </row>
    <row r="15" spans="1:6">
      <c r="A15" t="s">
        <v>19</v>
      </c>
      <c r="B15">
        <f>B4/(B14*B2)</f>
        <v>0.5702527924750147</v>
      </c>
    </row>
    <row r="16" spans="1:6">
      <c r="A16" t="s">
        <v>118</v>
      </c>
      <c r="B16">
        <f>B12-B13</f>
        <v>11.2</v>
      </c>
      <c r="D16">
        <f>D12-D13</f>
        <v>11.243333333333334</v>
      </c>
    </row>
    <row r="19" spans="1:12">
      <c r="A19" s="5" t="s">
        <v>27</v>
      </c>
      <c r="B19" s="4"/>
      <c r="C19" s="4"/>
      <c r="D19" s="4"/>
      <c r="E19" s="4" t="s">
        <v>128</v>
      </c>
      <c r="F19" s="4" t="s">
        <v>127</v>
      </c>
    </row>
    <row r="20" spans="1:12">
      <c r="A20" s="9" t="s">
        <v>28</v>
      </c>
      <c r="B20" s="10">
        <f>'Step 1'!B3</f>
        <v>1.0000000000000001E-9</v>
      </c>
      <c r="E20" t="s">
        <v>130</v>
      </c>
    </row>
    <row r="21" spans="1:12">
      <c r="A21" s="9" t="s">
        <v>18</v>
      </c>
      <c r="B21" s="9">
        <f>'Step 1'!D4</f>
        <v>3900</v>
      </c>
      <c r="E21" t="s">
        <v>129</v>
      </c>
    </row>
    <row r="22" spans="1:12">
      <c r="A22" s="11" t="s">
        <v>31</v>
      </c>
      <c r="B22" s="12">
        <f>'Step 2'!D2</f>
        <v>1.5E-5</v>
      </c>
      <c r="E22" t="s">
        <v>131</v>
      </c>
      <c r="F22" t="s">
        <v>148</v>
      </c>
      <c r="G22" t="s">
        <v>147</v>
      </c>
      <c r="I22" t="s">
        <v>146</v>
      </c>
      <c r="J22" s="11" t="s">
        <v>138</v>
      </c>
      <c r="K22" s="11" t="s">
        <v>137</v>
      </c>
      <c r="L22" s="11" t="s">
        <v>139</v>
      </c>
    </row>
    <row r="23" spans="1:12">
      <c r="A23" s="13" t="s">
        <v>49</v>
      </c>
      <c r="B23" s="13">
        <f>'Step 3'!D4</f>
        <v>0.15</v>
      </c>
      <c r="E23" t="s">
        <v>129</v>
      </c>
      <c r="F23" t="s">
        <v>135</v>
      </c>
    </row>
    <row r="24" spans="1:12">
      <c r="A24" s="2" t="s">
        <v>56</v>
      </c>
      <c r="B24" s="14">
        <f>'Step 4'!D4</f>
        <v>9.9999999999999995E-7</v>
      </c>
      <c r="E24" t="s">
        <v>130</v>
      </c>
      <c r="F24" t="s">
        <v>144</v>
      </c>
      <c r="G24" t="s">
        <v>145</v>
      </c>
    </row>
    <row r="25" spans="1:12">
      <c r="A25" s="8" t="s">
        <v>62</v>
      </c>
      <c r="B25" s="15">
        <f>'Step 5'!D4</f>
        <v>1.8E-5</v>
      </c>
      <c r="C25" s="15">
        <f>'Step 5'!D5</f>
        <v>0.74967944836087308</v>
      </c>
      <c r="D25" s="8" t="s">
        <v>67</v>
      </c>
      <c r="E25" t="s">
        <v>130</v>
      </c>
      <c r="F25" t="s">
        <v>141</v>
      </c>
      <c r="G25" t="s">
        <v>142</v>
      </c>
    </row>
    <row r="26" spans="1:12">
      <c r="A26" s="22" t="s">
        <v>101</v>
      </c>
      <c r="B26" s="22" t="str">
        <f>'Step 6'!D3</f>
        <v>FDC658AP</v>
      </c>
      <c r="E26" t="s">
        <v>132</v>
      </c>
      <c r="F26" t="s">
        <v>126</v>
      </c>
    </row>
    <row r="27" spans="1:12">
      <c r="A27" s="23" t="s">
        <v>111</v>
      </c>
      <c r="B27" s="23" t="s">
        <v>112</v>
      </c>
      <c r="E27" t="s">
        <v>133</v>
      </c>
      <c r="F27" t="s">
        <v>143</v>
      </c>
    </row>
    <row r="28" spans="1:12">
      <c r="A28" s="24" t="s">
        <v>115</v>
      </c>
      <c r="B28" s="24">
        <f>'Step 8'!C2</f>
        <v>15000</v>
      </c>
      <c r="E28" t="s">
        <v>129</v>
      </c>
    </row>
    <row r="29" spans="1:12">
      <c r="A29" s="24" t="s">
        <v>117</v>
      </c>
      <c r="B29" s="24">
        <f>'Step 8'!C3</f>
        <v>1800</v>
      </c>
      <c r="E29" t="s">
        <v>129</v>
      </c>
    </row>
    <row r="30" spans="1:12">
      <c r="A30" s="25" t="s">
        <v>123</v>
      </c>
      <c r="B30" s="25">
        <f>'Step 9'!B3</f>
        <v>1000</v>
      </c>
      <c r="C30" s="11"/>
      <c r="D30" s="11"/>
      <c r="E30" s="11" t="s">
        <v>129</v>
      </c>
      <c r="F30" s="11"/>
    </row>
    <row r="31" spans="1:12">
      <c r="A31" s="25" t="s">
        <v>124</v>
      </c>
      <c r="B31" s="26">
        <f>'Step 9'!B4</f>
        <v>9.9999999999999995E-8</v>
      </c>
      <c r="C31" s="11"/>
      <c r="D31" s="11"/>
      <c r="E31" s="11" t="s">
        <v>129</v>
      </c>
      <c r="F31" s="11"/>
    </row>
    <row r="32" spans="1:12">
      <c r="A32" t="s">
        <v>134</v>
      </c>
      <c r="B32" s="1">
        <v>9.9999999999999995E-7</v>
      </c>
      <c r="C32" t="s">
        <v>140</v>
      </c>
      <c r="E32" t="s">
        <v>130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2060"/>
  </sheetPr>
  <dimension ref="A1:C3"/>
  <sheetViews>
    <sheetView workbookViewId="0">
      <selection activeCell="C3" sqref="C3"/>
    </sheetView>
  </sheetViews>
  <sheetFormatPr defaultRowHeight="15"/>
  <sheetData>
    <row r="1" spans="1:3">
      <c r="A1" t="s">
        <v>114</v>
      </c>
      <c r="B1" t="s">
        <v>25</v>
      </c>
      <c r="C1" t="s">
        <v>26</v>
      </c>
    </row>
    <row r="2" spans="1:3">
      <c r="A2" t="s">
        <v>115</v>
      </c>
      <c r="B2">
        <f>Specification!B13/0.000022</f>
        <v>13636.363636363636</v>
      </c>
      <c r="C2" s="4">
        <v>15000</v>
      </c>
    </row>
    <row r="3" spans="1:3">
      <c r="A3" t="s">
        <v>116</v>
      </c>
      <c r="B3">
        <f>(1.24*C2)/(Specification!B12-1.24)</f>
        <v>1812.8654970760235</v>
      </c>
      <c r="C3" s="4">
        <v>1800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7030A0"/>
  </sheetPr>
  <dimension ref="A1:B4"/>
  <sheetViews>
    <sheetView workbookViewId="0">
      <selection activeCell="A5" sqref="A5"/>
    </sheetView>
  </sheetViews>
  <sheetFormatPr defaultRowHeight="15"/>
  <cols>
    <col min="1" max="1" width="23.85546875" customWidth="1"/>
  </cols>
  <sheetData>
    <row r="1" spans="1:2">
      <c r="A1" t="s">
        <v>119</v>
      </c>
    </row>
    <row r="2" spans="1:2">
      <c r="A2" t="s">
        <v>120</v>
      </c>
    </row>
    <row r="3" spans="1:2">
      <c r="A3" t="s">
        <v>121</v>
      </c>
      <c r="B3" s="4">
        <v>1000</v>
      </c>
    </row>
    <row r="4" spans="1:2">
      <c r="A4" t="s">
        <v>122</v>
      </c>
      <c r="B4" s="3">
        <v>9.9999999999999995E-8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0"/>
  <sheetViews>
    <sheetView workbookViewId="0">
      <selection activeCell="B14" sqref="B14"/>
    </sheetView>
  </sheetViews>
  <sheetFormatPr defaultRowHeight="15"/>
  <cols>
    <col min="1" max="1" width="39" customWidth="1"/>
    <col min="3" max="3" width="11" bestFit="1" customWidth="1"/>
    <col min="4" max="4" width="37.85546875" customWidth="1"/>
    <col min="5" max="5" width="9.140625" customWidth="1"/>
  </cols>
  <sheetData>
    <row r="1" spans="1:6">
      <c r="A1" s="7" t="s">
        <v>36</v>
      </c>
      <c r="D1" s="7" t="s">
        <v>37</v>
      </c>
    </row>
    <row r="2" spans="1:6">
      <c r="A2" t="s">
        <v>33</v>
      </c>
      <c r="B2">
        <f>Specification!B3</f>
        <v>21</v>
      </c>
      <c r="D2" t="s">
        <v>33</v>
      </c>
      <c r="E2">
        <f>Specification!$B$3</f>
        <v>21</v>
      </c>
    </row>
    <row r="3" spans="1:6">
      <c r="A3" t="s">
        <v>34</v>
      </c>
      <c r="B3">
        <v>9.6999999999999993</v>
      </c>
      <c r="D3" t="s">
        <v>34</v>
      </c>
      <c r="E3">
        <v>8.65</v>
      </c>
    </row>
    <row r="4" spans="1:6">
      <c r="A4" t="s">
        <v>10</v>
      </c>
      <c r="B4">
        <f>2.15/2.2</f>
        <v>0.97727272727272718</v>
      </c>
      <c r="D4" t="s">
        <v>10</v>
      </c>
      <c r="E4">
        <f>2.6/1.7</f>
        <v>1.5294117647058825</v>
      </c>
    </row>
    <row r="5" spans="1:6">
      <c r="A5" t="s">
        <v>2</v>
      </c>
      <c r="B5" s="1">
        <f>(1-B14)/B6</f>
        <v>894641.59319287643</v>
      </c>
      <c r="D5" t="s">
        <v>2</v>
      </c>
      <c r="E5" s="1">
        <f>(1-E14)/E6</f>
        <v>881101.40936160053</v>
      </c>
    </row>
    <row r="6" spans="1:6">
      <c r="A6" t="s">
        <v>11</v>
      </c>
      <c r="B6" s="1">
        <f>-('Step 1'!$B$3+0.00000000002)*'Step 1'!$D$4*LN(1-(1.24/B3))</f>
        <v>5.4409775990321435E-7</v>
      </c>
      <c r="C6" t="s">
        <v>113</v>
      </c>
      <c r="D6" t="s">
        <v>11</v>
      </c>
      <c r="E6" s="1">
        <f>-('Step 1'!$B$3+0.00000000002)*'Step 1'!$D$4*LN(1-(1.24/E3))</f>
        <v>6.1551149114718197E-7</v>
      </c>
      <c r="F6" t="s">
        <v>113</v>
      </c>
    </row>
    <row r="7" spans="1:6">
      <c r="A7" t="s">
        <v>3</v>
      </c>
      <c r="B7" s="1">
        <f>(1.24/(5*'Step 3'!$D$4))-B8/2</f>
        <v>1.4774083909646274</v>
      </c>
      <c r="C7">
        <f>(B7+B8/2)*5*'Step 3'!$D$4</f>
        <v>1.2399999999999998</v>
      </c>
      <c r="D7" t="s">
        <v>3</v>
      </c>
      <c r="E7">
        <v>0.45</v>
      </c>
      <c r="F7">
        <f>(E7+E8/2)*5*'Step 3'!$D$4</f>
        <v>0.47060435996057809</v>
      </c>
    </row>
    <row r="8" spans="1:6">
      <c r="A8" t="s">
        <v>4</v>
      </c>
      <c r="B8" s="1">
        <f>(B3*B6)/'Step 2'!$D$2</f>
        <v>0.35184988473741191</v>
      </c>
      <c r="D8" t="s">
        <v>4</v>
      </c>
      <c r="E8" s="1">
        <f>(E3*E6)/'Step 2'!$D$2</f>
        <v>0.35494495989487496</v>
      </c>
    </row>
    <row r="9" spans="1:6">
      <c r="A9" t="s">
        <v>5</v>
      </c>
      <c r="B9">
        <f>B8/((B4/'Step 4'!$D$2)-1)</f>
        <v>9.1392222301705267E-2</v>
      </c>
      <c r="D9" t="s">
        <v>5</v>
      </c>
      <c r="E9">
        <f>E8/((E4/'Step 4'!$D$2)-1)</f>
        <v>5.3861340793196537E-2</v>
      </c>
    </row>
    <row r="10" spans="1:6">
      <c r="A10" t="s">
        <v>6</v>
      </c>
      <c r="B10" s="1">
        <f>(B7*'Step 5'!$B$2)/'Step 5'!$D$4</f>
        <v>5.9259686738598882E-2</v>
      </c>
      <c r="D10" t="s">
        <v>6</v>
      </c>
      <c r="E10" s="1">
        <f>(E7*'Step 5'!$B$2)/'Step 5'!$D$4</f>
        <v>1.8049754688991723E-2</v>
      </c>
    </row>
    <row r="11" spans="1:6">
      <c r="A11" s="6" t="s">
        <v>8</v>
      </c>
      <c r="D11" s="6" t="s">
        <v>8</v>
      </c>
    </row>
    <row r="12" spans="1:6">
      <c r="A12" t="s">
        <v>7</v>
      </c>
      <c r="D12" t="s">
        <v>7</v>
      </c>
    </row>
    <row r="13" spans="1:6">
      <c r="A13" t="s">
        <v>9</v>
      </c>
      <c r="B13">
        <f>Specification!$B$14</f>
        <v>0.9</v>
      </c>
      <c r="D13" t="s">
        <v>9</v>
      </c>
      <c r="E13">
        <f>Specification!$B$14</f>
        <v>0.9</v>
      </c>
    </row>
    <row r="14" spans="1:6">
      <c r="A14" t="s">
        <v>35</v>
      </c>
      <c r="B14">
        <f>B3/(B13*B2)</f>
        <v>0.51322751322751314</v>
      </c>
      <c r="D14" t="s">
        <v>35</v>
      </c>
      <c r="E14">
        <f>E3/(E13*E2)</f>
        <v>0.45767195767195762</v>
      </c>
    </row>
    <row r="17" spans="1:6">
      <c r="A17" s="7" t="s">
        <v>38</v>
      </c>
      <c r="D17" s="7" t="s">
        <v>39</v>
      </c>
    </row>
    <row r="18" spans="1:6">
      <c r="A18" t="s">
        <v>33</v>
      </c>
      <c r="B18">
        <v>12</v>
      </c>
      <c r="D18" t="s">
        <v>33</v>
      </c>
      <c r="E18">
        <v>12</v>
      </c>
    </row>
    <row r="19" spans="1:6">
      <c r="A19" t="s">
        <v>34</v>
      </c>
      <c r="B19">
        <v>9.6999999999999993</v>
      </c>
      <c r="D19" t="s">
        <v>34</v>
      </c>
      <c r="E19">
        <v>8.65</v>
      </c>
    </row>
    <row r="20" spans="1:6">
      <c r="A20" t="s">
        <v>10</v>
      </c>
      <c r="B20">
        <f>2.15/2.2</f>
        <v>0.97727272727272718</v>
      </c>
      <c r="D20" t="s">
        <v>10</v>
      </c>
      <c r="E20">
        <f>2.6/1.7</f>
        <v>1.5294117647058825</v>
      </c>
    </row>
    <row r="21" spans="1:6">
      <c r="A21" t="s">
        <v>2</v>
      </c>
      <c r="B21" s="1">
        <f>(1-B30)/B22</f>
        <v>187194.02901046618</v>
      </c>
      <c r="D21" t="s">
        <v>2</v>
      </c>
      <c r="E21" s="1">
        <f>(1-E30)/E22</f>
        <v>323428.68807053869</v>
      </c>
    </row>
    <row r="22" spans="1:6">
      <c r="A22" t="s">
        <v>11</v>
      </c>
      <c r="B22" s="1">
        <f>-('Step 1'!$B$3+0.00000000002)*'Step 1'!$D$4*LN(1-(1.24/B19))</f>
        <v>5.4409775990321435E-7</v>
      </c>
      <c r="C22" t="s">
        <v>113</v>
      </c>
      <c r="D22" t="s">
        <v>11</v>
      </c>
      <c r="E22" s="1">
        <f>-('Step 1'!$B$3+0.00000000002)*'Step 1'!$D$4*LN(1-(1.24/E19))</f>
        <v>6.1551149114718197E-7</v>
      </c>
      <c r="F22" t="s">
        <v>113</v>
      </c>
    </row>
    <row r="23" spans="1:6">
      <c r="A23" t="s">
        <v>3</v>
      </c>
      <c r="B23" s="1">
        <f>(1.24/(5*'Step 3'!$D$4))-B24/2</f>
        <v>1.4774083909646274</v>
      </c>
      <c r="C23">
        <f>(B23+B24/2)*5*'Step 3'!$D$4</f>
        <v>1.2399999999999998</v>
      </c>
      <c r="D23" t="s">
        <v>3</v>
      </c>
      <c r="E23">
        <v>0.45</v>
      </c>
      <c r="F23">
        <f>(E23+E24/2)*5*'Step 3'!$D$4</f>
        <v>0.47060435996057809</v>
      </c>
    </row>
    <row r="24" spans="1:6">
      <c r="A24" t="s">
        <v>4</v>
      </c>
      <c r="B24" s="1">
        <f>(B19*B22)/'Step 2'!$D$2</f>
        <v>0.35184988473741191</v>
      </c>
      <c r="D24" t="s">
        <v>4</v>
      </c>
      <c r="E24" s="1">
        <f>(E19*E22)/'Step 2'!$D$2</f>
        <v>0.35494495989487496</v>
      </c>
    </row>
    <row r="25" spans="1:6">
      <c r="A25" t="s">
        <v>5</v>
      </c>
      <c r="B25">
        <f>B24/((B20/'Step 4'!$D$2)-1)</f>
        <v>9.1392222301705267E-2</v>
      </c>
      <c r="D25" t="s">
        <v>5</v>
      </c>
      <c r="E25">
        <f>E24/((E20/'Step 4'!$D$2)-1)</f>
        <v>5.3861340793196537E-2</v>
      </c>
    </row>
    <row r="26" spans="1:6">
      <c r="A26" t="s">
        <v>6</v>
      </c>
      <c r="B26" s="1">
        <f>(B23*'Step 5'!$B$2)/'Step 5'!$D$4</f>
        <v>5.9259686738598882E-2</v>
      </c>
      <c r="D26" t="s">
        <v>6</v>
      </c>
      <c r="E26" s="1">
        <f>(E23*'Step 5'!$B$2)/'Step 5'!$D$4</f>
        <v>1.8049754688991723E-2</v>
      </c>
    </row>
    <row r="27" spans="1:6">
      <c r="A27" s="6" t="s">
        <v>8</v>
      </c>
      <c r="D27" s="6" t="s">
        <v>8</v>
      </c>
    </row>
    <row r="28" spans="1:6">
      <c r="A28" t="s">
        <v>7</v>
      </c>
      <c r="D28" t="s">
        <v>7</v>
      </c>
    </row>
    <row r="29" spans="1:6">
      <c r="A29" t="s">
        <v>9</v>
      </c>
      <c r="B29">
        <f>Specification!$B$14</f>
        <v>0.9</v>
      </c>
      <c r="D29" t="s">
        <v>9</v>
      </c>
      <c r="E29">
        <f>Specification!$B$14</f>
        <v>0.9</v>
      </c>
    </row>
    <row r="30" spans="1:6">
      <c r="A30" t="s">
        <v>35</v>
      </c>
      <c r="B30">
        <f>B19/(B29*B18)</f>
        <v>0.89814814814814803</v>
      </c>
      <c r="D30" t="s">
        <v>35</v>
      </c>
      <c r="E30">
        <f>E19/(E29*E18)</f>
        <v>0.80092592592592593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E4"/>
  <sheetViews>
    <sheetView workbookViewId="0">
      <selection activeCell="D5" sqref="D5"/>
    </sheetView>
  </sheetViews>
  <sheetFormatPr defaultRowHeight="15"/>
  <cols>
    <col min="1" max="1" width="35.5703125" customWidth="1"/>
    <col min="3" max="3" width="27.5703125" customWidth="1"/>
  </cols>
  <sheetData>
    <row r="1" spans="1:5">
      <c r="B1" t="s">
        <v>25</v>
      </c>
      <c r="D1" t="s">
        <v>26</v>
      </c>
    </row>
    <row r="2" spans="1:5">
      <c r="A2" t="s">
        <v>29</v>
      </c>
    </row>
    <row r="3" spans="1:5">
      <c r="A3" t="s">
        <v>16</v>
      </c>
      <c r="B3" s="3">
        <v>1.0000000000000001E-9</v>
      </c>
      <c r="C3" t="s">
        <v>20</v>
      </c>
    </row>
    <row r="4" spans="1:5">
      <c r="A4" t="s">
        <v>18</v>
      </c>
      <c r="B4">
        <f>-(1-Specification!B15)/(('Step 1'!B3+0.00000000002)*Specification!B6*LN(1-(1.24/Specification!B4)))</f>
        <v>3080.3547319246027</v>
      </c>
      <c r="D4" s="4">
        <v>3900</v>
      </c>
      <c r="E4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E2"/>
  <sheetViews>
    <sheetView workbookViewId="0">
      <selection activeCell="D3" sqref="D3"/>
    </sheetView>
  </sheetViews>
  <sheetFormatPr defaultRowHeight="15"/>
  <cols>
    <col min="1" max="1" width="24.28515625" customWidth="1"/>
    <col min="2" max="2" width="12" bestFit="1" customWidth="1"/>
  </cols>
  <sheetData>
    <row r="1" spans="1:5">
      <c r="A1" t="s">
        <v>30</v>
      </c>
      <c r="B1" t="s">
        <v>25</v>
      </c>
      <c r="D1" t="s">
        <v>32</v>
      </c>
    </row>
    <row r="2" spans="1:5">
      <c r="A2" t="s">
        <v>31</v>
      </c>
      <c r="B2">
        <f>(Specification!B4*Specification!D7)/Specification!B9</f>
        <v>1.4073995389496475E-5</v>
      </c>
      <c r="D2" s="3">
        <v>1.5E-5</v>
      </c>
      <c r="E2" t="s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C000"/>
  </sheetPr>
  <dimension ref="A1:E5"/>
  <sheetViews>
    <sheetView workbookViewId="0">
      <selection activeCell="B5" sqref="B5"/>
    </sheetView>
  </sheetViews>
  <sheetFormatPr defaultRowHeight="15"/>
  <cols>
    <col min="1" max="1" width="21.85546875" customWidth="1"/>
  </cols>
  <sheetData>
    <row r="1" spans="1:5">
      <c r="A1" t="s">
        <v>40</v>
      </c>
      <c r="B1" t="s">
        <v>48</v>
      </c>
      <c r="D1" t="s">
        <v>32</v>
      </c>
    </row>
    <row r="2" spans="1:5">
      <c r="A2" t="s">
        <v>43</v>
      </c>
      <c r="B2">
        <f>Specification!B8 + Specification!B9/2</f>
        <v>1.6875</v>
      </c>
    </row>
    <row r="3" spans="1:5">
      <c r="A3" t="s">
        <v>46</v>
      </c>
      <c r="B3">
        <v>1.24</v>
      </c>
      <c r="C3" t="s">
        <v>47</v>
      </c>
    </row>
    <row r="4" spans="1:5">
      <c r="A4" t="s">
        <v>45</v>
      </c>
      <c r="B4">
        <f>B3/(5*B2)</f>
        <v>0.14696296296296296</v>
      </c>
      <c r="D4" s="4">
        <v>0.15</v>
      </c>
      <c r="E4" t="s">
        <v>57</v>
      </c>
    </row>
    <row r="5" spans="1:5">
      <c r="A5" t="s">
        <v>108</v>
      </c>
      <c r="B5">
        <f>B2^2*D4</f>
        <v>0.42714843749999998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</sheetPr>
  <dimension ref="A1:E5"/>
  <sheetViews>
    <sheetView workbookViewId="0">
      <selection activeCell="D4" sqref="D4"/>
    </sheetView>
  </sheetViews>
  <sheetFormatPr defaultRowHeight="15"/>
  <cols>
    <col min="1" max="1" width="21.140625" customWidth="1"/>
    <col min="2" max="2" width="12" bestFit="1" customWidth="1"/>
    <col min="3" max="3" width="10.5703125" customWidth="1"/>
    <col min="4" max="4" width="13.42578125" customWidth="1"/>
  </cols>
  <sheetData>
    <row r="1" spans="1:5">
      <c r="A1" t="s">
        <v>50</v>
      </c>
      <c r="B1" t="s">
        <v>53</v>
      </c>
      <c r="D1" t="s">
        <v>64</v>
      </c>
    </row>
    <row r="2" spans="1:5">
      <c r="A2" t="s">
        <v>52</v>
      </c>
      <c r="B2">
        <f>(Specification!B5*Specification!B10)/(Specification!B9-Specification!B10)</f>
        <v>0.32500000000000007</v>
      </c>
      <c r="D2" s="1">
        <f>1/(2*PI()*Specification!D6*'Step 4'!D4)</f>
        <v>0.20150415522778975</v>
      </c>
    </row>
    <row r="3" spans="1:5">
      <c r="A3" t="s">
        <v>54</v>
      </c>
      <c r="B3">
        <f>1/(2*PI()*Specification!D6*'Step 4'!B2)</f>
        <v>6.2001278531627606E-7</v>
      </c>
    </row>
    <row r="4" spans="1:5">
      <c r="A4" t="s">
        <v>54</v>
      </c>
      <c r="B4">
        <f>1.75*B3</f>
        <v>1.0850223743034831E-6</v>
      </c>
      <c r="C4" t="s">
        <v>55</v>
      </c>
      <c r="D4" s="3">
        <v>9.9999999999999995E-7</v>
      </c>
      <c r="E4" t="s">
        <v>59</v>
      </c>
    </row>
    <row r="5" spans="1:5">
      <c r="A5" t="s">
        <v>136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E5"/>
  <sheetViews>
    <sheetView workbookViewId="0">
      <selection activeCell="D5" sqref="D5"/>
    </sheetView>
  </sheetViews>
  <sheetFormatPr defaultRowHeight="15"/>
  <cols>
    <col min="1" max="1" width="18.28515625" customWidth="1"/>
    <col min="2" max="2" width="12" bestFit="1" customWidth="1"/>
    <col min="3" max="3" width="10.140625" customWidth="1"/>
  </cols>
  <sheetData>
    <row r="1" spans="1:5">
      <c r="A1" t="s">
        <v>60</v>
      </c>
      <c r="D1" t="s">
        <v>32</v>
      </c>
    </row>
    <row r="2" spans="1:5">
      <c r="A2" t="s">
        <v>51</v>
      </c>
      <c r="B2">
        <f>(1/Specification!D6)-Specification!D7</f>
        <v>7.2199018755966888E-7</v>
      </c>
    </row>
    <row r="3" spans="1:5">
      <c r="A3" t="s">
        <v>61</v>
      </c>
      <c r="B3">
        <f>(Specification!D8*'Step 5'!B2)/Specification!B11</f>
        <v>1.0933687537802251E-5</v>
      </c>
    </row>
    <row r="4" spans="1:5">
      <c r="A4" t="s">
        <v>62</v>
      </c>
      <c r="B4">
        <f>2*B3</f>
        <v>2.1867375075604502E-5</v>
      </c>
      <c r="C4" t="s">
        <v>63</v>
      </c>
      <c r="D4" s="3">
        <v>1.8E-5</v>
      </c>
      <c r="E4" t="s">
        <v>59</v>
      </c>
    </row>
    <row r="5" spans="1:5">
      <c r="A5" t="s">
        <v>65</v>
      </c>
      <c r="D5" s="1">
        <f>Specification!D8*Specification!D6*SQRT('Step 5'!B2*Specification!D7)</f>
        <v>0.74967944836087308</v>
      </c>
      <c r="E5" t="s">
        <v>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F0"/>
  </sheetPr>
  <dimension ref="A1:K22"/>
  <sheetViews>
    <sheetView workbookViewId="0">
      <selection activeCell="H32" sqref="H32"/>
    </sheetView>
  </sheetViews>
  <sheetFormatPr defaultRowHeight="15"/>
  <cols>
    <col min="1" max="1" width="17.28515625" customWidth="1"/>
    <col min="4" max="4" width="11.42578125" customWidth="1"/>
    <col min="6" max="6" width="9.7109375" customWidth="1"/>
    <col min="9" max="9" width="38.7109375" customWidth="1"/>
  </cols>
  <sheetData>
    <row r="1" spans="1:11">
      <c r="A1" t="s">
        <v>68</v>
      </c>
      <c r="B1" t="s">
        <v>25</v>
      </c>
      <c r="D1" t="s">
        <v>32</v>
      </c>
    </row>
    <row r="2" spans="1:11">
      <c r="A2" t="s">
        <v>70</v>
      </c>
      <c r="B2">
        <f>Specification!B3</f>
        <v>21</v>
      </c>
    </row>
    <row r="3" spans="1:11">
      <c r="A3" t="s">
        <v>71</v>
      </c>
      <c r="B3" s="1">
        <f>Specification!B15*Specification!D8</f>
        <v>0.86358041396036478</v>
      </c>
      <c r="D3" s="20" t="s">
        <v>92</v>
      </c>
    </row>
    <row r="4" spans="1:11">
      <c r="C4" t="s">
        <v>72</v>
      </c>
      <c r="D4" s="4">
        <v>5.5E-2</v>
      </c>
    </row>
    <row r="5" spans="1:11">
      <c r="C5" t="s">
        <v>73</v>
      </c>
      <c r="D5" s="3">
        <v>1E-8</v>
      </c>
      <c r="E5" t="s">
        <v>76</v>
      </c>
    </row>
    <row r="6" spans="1:11">
      <c r="A6" t="s">
        <v>74</v>
      </c>
      <c r="B6" s="1">
        <f>Specification!D8*SQRT(Specification!B15*(1+(1/12)*(Specification!D9/Specification!D8)^2))</f>
        <v>1.145190144652279</v>
      </c>
    </row>
    <row r="7" spans="1:11">
      <c r="A7" t="s">
        <v>75</v>
      </c>
      <c r="B7" s="1">
        <f>B6^2*D4</f>
        <v>7.2130325707478918E-2</v>
      </c>
    </row>
    <row r="9" spans="1:11">
      <c r="A9" t="s">
        <v>77</v>
      </c>
      <c r="B9" t="s">
        <v>78</v>
      </c>
      <c r="C9" t="s">
        <v>79</v>
      </c>
      <c r="D9" t="s">
        <v>80</v>
      </c>
      <c r="E9" t="s">
        <v>81</v>
      </c>
      <c r="F9" t="s">
        <v>82</v>
      </c>
      <c r="G9" t="s">
        <v>83</v>
      </c>
      <c r="H9" t="s">
        <v>87</v>
      </c>
      <c r="J9" t="s">
        <v>98</v>
      </c>
      <c r="K9" t="s">
        <v>99</v>
      </c>
    </row>
    <row r="10" spans="1:11">
      <c r="A10" s="16" t="s">
        <v>84</v>
      </c>
      <c r="B10">
        <v>70</v>
      </c>
      <c r="C10">
        <v>5.7</v>
      </c>
      <c r="D10">
        <v>18</v>
      </c>
      <c r="E10">
        <v>2.5</v>
      </c>
      <c r="F10">
        <v>27.9</v>
      </c>
      <c r="G10">
        <v>160</v>
      </c>
    </row>
    <row r="11" spans="1:11">
      <c r="A11" s="17" t="s">
        <v>85</v>
      </c>
      <c r="B11">
        <v>30</v>
      </c>
      <c r="C11">
        <v>5.4</v>
      </c>
      <c r="D11">
        <v>10</v>
      </c>
      <c r="E11">
        <v>9.6999999999999993</v>
      </c>
      <c r="F11">
        <v>16</v>
      </c>
      <c r="G11">
        <v>70</v>
      </c>
      <c r="H11" s="18">
        <v>0.35</v>
      </c>
      <c r="I11" t="s">
        <v>97</v>
      </c>
    </row>
    <row r="12" spans="1:11">
      <c r="A12" t="s">
        <v>86</v>
      </c>
      <c r="B12">
        <v>30</v>
      </c>
      <c r="C12">
        <v>3.6</v>
      </c>
      <c r="D12">
        <v>10</v>
      </c>
      <c r="E12">
        <v>9.6</v>
      </c>
      <c r="F12">
        <v>16</v>
      </c>
      <c r="G12">
        <v>70</v>
      </c>
      <c r="H12" s="18">
        <v>0.125</v>
      </c>
    </row>
    <row r="13" spans="1:11">
      <c r="A13" s="17" t="s">
        <v>88</v>
      </c>
      <c r="B13">
        <v>30</v>
      </c>
      <c r="C13">
        <v>2.2999999999999998</v>
      </c>
      <c r="D13">
        <v>4</v>
      </c>
      <c r="E13">
        <v>7.5</v>
      </c>
      <c r="F13">
        <v>9</v>
      </c>
      <c r="G13">
        <v>180</v>
      </c>
      <c r="H13" s="18">
        <v>9.5000000000000001E-2</v>
      </c>
    </row>
    <row r="14" spans="1:11">
      <c r="A14" t="s">
        <v>89</v>
      </c>
      <c r="B14">
        <v>100</v>
      </c>
      <c r="C14">
        <v>1.6</v>
      </c>
      <c r="D14">
        <v>10</v>
      </c>
      <c r="E14">
        <v>3</v>
      </c>
      <c r="F14">
        <v>13.4</v>
      </c>
      <c r="G14">
        <v>360</v>
      </c>
      <c r="H14" s="18">
        <v>0.4</v>
      </c>
      <c r="I14" t="s">
        <v>100</v>
      </c>
    </row>
    <row r="15" spans="1:11">
      <c r="A15" s="17" t="s">
        <v>90</v>
      </c>
      <c r="B15">
        <v>100</v>
      </c>
      <c r="C15">
        <v>2.4</v>
      </c>
      <c r="D15">
        <v>10</v>
      </c>
      <c r="E15">
        <v>3</v>
      </c>
      <c r="F15">
        <v>13.4</v>
      </c>
      <c r="G15">
        <v>360</v>
      </c>
      <c r="H15" s="18">
        <v>0.45</v>
      </c>
      <c r="I15" t="s">
        <v>100</v>
      </c>
    </row>
    <row r="16" spans="1:11">
      <c r="A16" s="17" t="s">
        <v>91</v>
      </c>
      <c r="B16">
        <v>60</v>
      </c>
      <c r="C16">
        <v>2.2999999999999998</v>
      </c>
      <c r="G16">
        <v>410</v>
      </c>
      <c r="H16" s="19">
        <v>43</v>
      </c>
      <c r="I16" t="s">
        <v>100</v>
      </c>
    </row>
    <row r="17" spans="1:11">
      <c r="A17" s="20" t="s">
        <v>92</v>
      </c>
      <c r="B17" s="4">
        <v>30</v>
      </c>
      <c r="C17" s="4">
        <v>4</v>
      </c>
      <c r="D17" s="4">
        <v>10</v>
      </c>
      <c r="E17" s="4">
        <v>7</v>
      </c>
      <c r="F17" s="4">
        <v>16</v>
      </c>
      <c r="G17" s="4">
        <v>55</v>
      </c>
      <c r="H17" s="21">
        <v>0.88</v>
      </c>
      <c r="I17" s="4" t="s">
        <v>93</v>
      </c>
      <c r="J17" s="4">
        <v>12</v>
      </c>
      <c r="K17" s="4">
        <v>6</v>
      </c>
    </row>
    <row r="18" spans="1:11">
      <c r="A18" s="17" t="s">
        <v>94</v>
      </c>
      <c r="B18">
        <v>40</v>
      </c>
      <c r="C18">
        <v>10.5</v>
      </c>
      <c r="D18">
        <v>14</v>
      </c>
      <c r="E18">
        <v>2.2999999999999998</v>
      </c>
      <c r="F18">
        <v>25.1</v>
      </c>
      <c r="G18">
        <v>60</v>
      </c>
      <c r="H18" s="18">
        <v>0.3</v>
      </c>
      <c r="J18">
        <v>14.1</v>
      </c>
      <c r="K18">
        <v>14.3</v>
      </c>
    </row>
    <row r="19" spans="1:11">
      <c r="A19" s="17" t="s">
        <v>95</v>
      </c>
      <c r="B19">
        <v>30</v>
      </c>
      <c r="C19">
        <v>3.8</v>
      </c>
      <c r="D19">
        <v>7.8</v>
      </c>
      <c r="E19">
        <v>6</v>
      </c>
      <c r="F19">
        <v>17.600000000000001</v>
      </c>
      <c r="G19">
        <v>80</v>
      </c>
      <c r="H19" s="18">
        <v>0.17</v>
      </c>
      <c r="I19" t="s">
        <v>96</v>
      </c>
      <c r="J19">
        <v>5</v>
      </c>
      <c r="K19">
        <v>9.5</v>
      </c>
    </row>
    <row r="21" spans="1:11">
      <c r="A21" s="17"/>
    </row>
    <row r="22" spans="1:11">
      <c r="A22" s="17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70C0"/>
  </sheetPr>
  <dimension ref="A1:E7"/>
  <sheetViews>
    <sheetView zoomScaleNormal="100" workbookViewId="0">
      <selection activeCell="I1" sqref="I1"/>
    </sheetView>
  </sheetViews>
  <sheetFormatPr defaultRowHeight="15"/>
  <cols>
    <col min="1" max="1" width="14.28515625" customWidth="1"/>
    <col min="5" max="5" width="12.5703125" customWidth="1"/>
  </cols>
  <sheetData>
    <row r="1" spans="1:5">
      <c r="A1" t="s">
        <v>102</v>
      </c>
      <c r="B1" t="s">
        <v>103</v>
      </c>
      <c r="D1" t="s">
        <v>32</v>
      </c>
    </row>
    <row r="2" spans="1:5">
      <c r="A2" t="s">
        <v>69</v>
      </c>
      <c r="B2">
        <f>Specification!B3</f>
        <v>21</v>
      </c>
    </row>
    <row r="3" spans="1:5">
      <c r="A3" t="s">
        <v>71</v>
      </c>
      <c r="B3" s="1">
        <f>(1-Specification!B15)*Specification!D8</f>
        <v>0.65080132227322329</v>
      </c>
    </row>
    <row r="4" spans="1:5">
      <c r="C4" t="s">
        <v>109</v>
      </c>
      <c r="D4">
        <v>0.3</v>
      </c>
      <c r="E4" t="s">
        <v>110</v>
      </c>
    </row>
    <row r="5" spans="1:5">
      <c r="C5" t="s">
        <v>108</v>
      </c>
      <c r="D5" s="1">
        <f>D4*B3</f>
        <v>0.19524039668196699</v>
      </c>
    </row>
    <row r="7" spans="1:5">
      <c r="A7" t="s">
        <v>104</v>
      </c>
      <c r="B7" t="s">
        <v>87</v>
      </c>
      <c r="C7" t="s">
        <v>105</v>
      </c>
      <c r="D7" t="s">
        <v>106</v>
      </c>
      <c r="E7" t="s">
        <v>107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Specification</vt:lpstr>
      <vt:lpstr>Tests</vt:lpstr>
      <vt:lpstr>Step 1</vt:lpstr>
      <vt:lpstr>Step 2</vt:lpstr>
      <vt:lpstr>Step 3</vt:lpstr>
      <vt:lpstr>Step 4</vt:lpstr>
      <vt:lpstr>Step 5</vt:lpstr>
      <vt:lpstr>Step 6</vt:lpstr>
      <vt:lpstr>Step 7</vt:lpstr>
      <vt:lpstr>Step 8</vt:lpstr>
      <vt:lpstr>Step 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2012-06-27T08:43:29Z</dcterms:modified>
</cp:coreProperties>
</file>